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555" yWindow="-180" windowWidth="11685" windowHeight="11760"/>
  </bookViews>
  <sheets>
    <sheet name="каз.яз" sheetId="2" r:id="rId1"/>
  </sheets>
  <calcPr calcId="124519"/>
</workbook>
</file>

<file path=xl/calcChain.xml><?xml version="1.0" encoding="utf-8"?>
<calcChain xmlns="http://schemas.openxmlformats.org/spreadsheetml/2006/main">
  <c r="O48" i="2"/>
  <c r="O49"/>
  <c r="O50"/>
  <c r="O51"/>
  <c r="D48"/>
  <c r="E48"/>
  <c r="F48" s="1"/>
  <c r="G48"/>
  <c r="I48" s="1"/>
  <c r="J48"/>
  <c r="J49"/>
  <c r="K49"/>
  <c r="J50"/>
  <c r="K50"/>
  <c r="D51"/>
  <c r="F51" s="1"/>
  <c r="G51"/>
  <c r="I51" s="1"/>
  <c r="J51"/>
  <c r="K51"/>
  <c r="L51"/>
  <c r="D52"/>
  <c r="J52"/>
  <c r="K52"/>
  <c r="O52"/>
  <c r="D53"/>
  <c r="G53"/>
  <c r="J53" s="1"/>
  <c r="K53"/>
  <c r="D55"/>
  <c r="D54" s="1"/>
  <c r="E55"/>
  <c r="F55"/>
  <c r="G55"/>
  <c r="I55"/>
  <c r="K55"/>
  <c r="O55"/>
  <c r="D56"/>
  <c r="E56"/>
  <c r="F56" s="1"/>
  <c r="G56"/>
  <c r="I56" s="1"/>
  <c r="J56"/>
  <c r="O56"/>
  <c r="D57"/>
  <c r="J57" s="1"/>
  <c r="E57"/>
  <c r="F57"/>
  <c r="G57"/>
  <c r="I57"/>
  <c r="K57"/>
  <c r="O57"/>
  <c r="D58"/>
  <c r="F58"/>
  <c r="G58"/>
  <c r="I58"/>
  <c r="J58"/>
  <c r="L58"/>
  <c r="O58"/>
  <c r="F59"/>
  <c r="I59"/>
  <c r="L59"/>
  <c r="O59"/>
  <c r="F60"/>
  <c r="I60"/>
  <c r="L60"/>
  <c r="D68"/>
  <c r="E68"/>
  <c r="F68"/>
  <c r="F70"/>
  <c r="F71"/>
  <c r="F72"/>
  <c r="F73"/>
  <c r="E74"/>
  <c r="F74"/>
  <c r="E76"/>
  <c r="F76"/>
  <c r="E77"/>
  <c r="F77"/>
  <c r="E78"/>
  <c r="F78"/>
  <c r="E79"/>
  <c r="F79"/>
  <c r="O46"/>
  <c r="O45"/>
  <c r="O44"/>
  <c r="O43"/>
  <c r="O42"/>
  <c r="O41"/>
  <c r="O40"/>
  <c r="O39"/>
  <c r="O38"/>
  <c r="O37"/>
  <c r="O36"/>
  <c r="O35"/>
  <c r="O34"/>
  <c r="O33"/>
  <c r="O32"/>
  <c r="O31"/>
  <c r="O30"/>
  <c r="O29"/>
  <c r="O28"/>
  <c r="O27"/>
  <c r="O26"/>
  <c r="O25"/>
  <c r="O24"/>
  <c r="O23"/>
  <c r="O22"/>
  <c r="O21"/>
  <c r="O20"/>
  <c r="O19"/>
  <c r="O18"/>
  <c r="O17"/>
  <c r="O16"/>
  <c r="O15"/>
  <c r="O14"/>
  <c r="O13"/>
  <c r="O12"/>
  <c r="O11"/>
  <c r="O10"/>
  <c r="O9"/>
  <c r="O8"/>
  <c r="O7"/>
  <c r="O6"/>
  <c r="O5"/>
  <c r="O54" l="1"/>
  <c r="L57"/>
  <c r="G54"/>
  <c r="I54" s="1"/>
  <c r="E54"/>
  <c r="K56"/>
  <c r="L56" s="1"/>
  <c r="J55"/>
  <c r="L55" s="1"/>
  <c r="K48"/>
  <c r="L48" s="1"/>
  <c r="K46"/>
  <c r="G46"/>
  <c r="I46" s="1"/>
  <c r="D46"/>
  <c r="F46" s="1"/>
  <c r="K45"/>
  <c r="I45"/>
  <c r="G45"/>
  <c r="F45"/>
  <c r="D45"/>
  <c r="J45" s="1"/>
  <c r="K44"/>
  <c r="G44"/>
  <c r="I44" s="1"/>
  <c r="D44"/>
  <c r="F44" s="1"/>
  <c r="K43"/>
  <c r="I43"/>
  <c r="G43"/>
  <c r="F43"/>
  <c r="D43"/>
  <c r="J43" s="1"/>
  <c r="K42"/>
  <c r="D42"/>
  <c r="J42" s="1"/>
  <c r="K41"/>
  <c r="G41"/>
  <c r="D41"/>
  <c r="J41" s="1"/>
  <c r="K40"/>
  <c r="I40"/>
  <c r="G40"/>
  <c r="F40"/>
  <c r="D40"/>
  <c r="J40" s="1"/>
  <c r="K39"/>
  <c r="G39"/>
  <c r="I39" s="1"/>
  <c r="D39"/>
  <c r="F39" s="1"/>
  <c r="H38"/>
  <c r="E38"/>
  <c r="K38" s="1"/>
  <c r="D38"/>
  <c r="G37"/>
  <c r="I37" s="1"/>
  <c r="E37"/>
  <c r="K37" s="1"/>
  <c r="G36"/>
  <c r="I36" s="1"/>
  <c r="E36"/>
  <c r="K36" s="1"/>
  <c r="D36"/>
  <c r="K35"/>
  <c r="G35"/>
  <c r="I35" s="1"/>
  <c r="D35"/>
  <c r="F35" s="1"/>
  <c r="K34"/>
  <c r="I34"/>
  <c r="G34"/>
  <c r="F34"/>
  <c r="D34"/>
  <c r="J34" s="1"/>
  <c r="K33"/>
  <c r="G33"/>
  <c r="I33" s="1"/>
  <c r="D33"/>
  <c r="F33" s="1"/>
  <c r="K32"/>
  <c r="G32"/>
  <c r="D32"/>
  <c r="J32" s="1"/>
  <c r="K31"/>
  <c r="G31"/>
  <c r="D31"/>
  <c r="D15" s="1"/>
  <c r="K28"/>
  <c r="I28"/>
  <c r="G28"/>
  <c r="F28"/>
  <c r="D28"/>
  <c r="J28" s="1"/>
  <c r="K27"/>
  <c r="G27"/>
  <c r="I27" s="1"/>
  <c r="D27"/>
  <c r="F27" s="1"/>
  <c r="H26"/>
  <c r="G26"/>
  <c r="I26" s="1"/>
  <c r="E26"/>
  <c r="F26" s="1"/>
  <c r="D26"/>
  <c r="J26" s="1"/>
  <c r="G25"/>
  <c r="I25" s="1"/>
  <c r="E25"/>
  <c r="K25" s="1"/>
  <c r="D25"/>
  <c r="K24"/>
  <c r="H24"/>
  <c r="G24"/>
  <c r="G23" s="1"/>
  <c r="G22" s="1"/>
  <c r="D24"/>
  <c r="J24" s="1"/>
  <c r="H23"/>
  <c r="I23" s="1"/>
  <c r="D23"/>
  <c r="D22" s="1"/>
  <c r="H20"/>
  <c r="G20"/>
  <c r="I20" s="1"/>
  <c r="E20"/>
  <c r="F20" s="1"/>
  <c r="D20"/>
  <c r="J20" s="1"/>
  <c r="K19"/>
  <c r="G19"/>
  <c r="I19" s="1"/>
  <c r="D19"/>
  <c r="F19" s="1"/>
  <c r="K18"/>
  <c r="I18"/>
  <c r="G18"/>
  <c r="F18"/>
  <c r="D18"/>
  <c r="J18" s="1"/>
  <c r="K17"/>
  <c r="G17"/>
  <c r="I17" s="1"/>
  <c r="D17"/>
  <c r="F17" s="1"/>
  <c r="K16"/>
  <c r="I16"/>
  <c r="G16"/>
  <c r="E16"/>
  <c r="D16"/>
  <c r="J16" s="1"/>
  <c r="G15"/>
  <c r="J15" s="1"/>
  <c r="E15"/>
  <c r="D14"/>
  <c r="K13"/>
  <c r="I13"/>
  <c r="G13"/>
  <c r="F13"/>
  <c r="D13"/>
  <c r="J13" s="1"/>
  <c r="K12"/>
  <c r="G12"/>
  <c r="I12" s="1"/>
  <c r="D12"/>
  <c r="G11"/>
  <c r="I11" s="1"/>
  <c r="E11"/>
  <c r="K10"/>
  <c r="G10"/>
  <c r="I10" s="1"/>
  <c r="D10"/>
  <c r="F10" s="1"/>
  <c r="K9"/>
  <c r="I9"/>
  <c r="G9"/>
  <c r="F9"/>
  <c r="D9"/>
  <c r="J9" s="1"/>
  <c r="K8"/>
  <c r="G8"/>
  <c r="I8" s="1"/>
  <c r="D8"/>
  <c r="K7"/>
  <c r="I7"/>
  <c r="G7"/>
  <c r="F7"/>
  <c r="D7"/>
  <c r="J7" s="1"/>
  <c r="H6"/>
  <c r="E6"/>
  <c r="H5"/>
  <c r="F54" l="1"/>
  <c r="K54"/>
  <c r="J54"/>
  <c r="F38"/>
  <c r="F8"/>
  <c r="D6"/>
  <c r="K11"/>
  <c r="I15"/>
  <c r="G14"/>
  <c r="I14" s="1"/>
  <c r="J22"/>
  <c r="I22"/>
  <c r="G21"/>
  <c r="I21" s="1"/>
  <c r="G6"/>
  <c r="F6"/>
  <c r="K6"/>
  <c r="L7"/>
  <c r="J8"/>
  <c r="L9"/>
  <c r="J10"/>
  <c r="F16"/>
  <c r="L24"/>
  <c r="L28"/>
  <c r="L34"/>
  <c r="F12"/>
  <c r="D11"/>
  <c r="J11" s="1"/>
  <c r="K15"/>
  <c r="L15" s="1"/>
  <c r="F15"/>
  <c r="E14"/>
  <c r="J12"/>
  <c r="L13"/>
  <c r="J14"/>
  <c r="L16"/>
  <c r="J17"/>
  <c r="L18"/>
  <c r="L40"/>
  <c r="L43"/>
  <c r="L45"/>
  <c r="J19"/>
  <c r="K20"/>
  <c r="L20" s="1"/>
  <c r="J23"/>
  <c r="I24"/>
  <c r="J25"/>
  <c r="K26"/>
  <c r="L26" s="1"/>
  <c r="J27"/>
  <c r="J31"/>
  <c r="J33"/>
  <c r="J35"/>
  <c r="J36"/>
  <c r="J39"/>
  <c r="J44"/>
  <c r="J46"/>
  <c r="E23"/>
  <c r="F24"/>
  <c r="F25"/>
  <c r="F36"/>
  <c r="D37"/>
  <c r="J37" s="1"/>
  <c r="G38"/>
  <c r="I38" s="1"/>
  <c r="L54" l="1"/>
  <c r="L46"/>
  <c r="L35"/>
  <c r="L17"/>
  <c r="L12"/>
  <c r="L10"/>
  <c r="L8"/>
  <c r="G5"/>
  <c r="I6"/>
  <c r="L36"/>
  <c r="L11"/>
  <c r="K23"/>
  <c r="L23" s="1"/>
  <c r="F23"/>
  <c r="E22"/>
  <c r="L39"/>
  <c r="J38"/>
  <c r="L38" s="1"/>
  <c r="L44"/>
  <c r="L33"/>
  <c r="L27"/>
  <c r="L19"/>
  <c r="K14"/>
  <c r="L14" s="1"/>
  <c r="F14"/>
  <c r="E5"/>
  <c r="J6"/>
  <c r="D5"/>
  <c r="F37"/>
  <c r="L37"/>
  <c r="L25"/>
  <c r="D21"/>
  <c r="J21" s="1"/>
  <c r="F11"/>
  <c r="K22" l="1"/>
  <c r="L22" s="1"/>
  <c r="F22"/>
  <c r="E21"/>
  <c r="I5"/>
  <c r="L6"/>
  <c r="J5"/>
  <c r="F5"/>
  <c r="K5"/>
  <c r="L5" s="1"/>
  <c r="K21" l="1"/>
  <c r="L21" s="1"/>
  <c r="F21"/>
</calcChain>
</file>

<file path=xl/sharedStrings.xml><?xml version="1.0" encoding="utf-8"?>
<sst xmlns="http://schemas.openxmlformats.org/spreadsheetml/2006/main" count="208" uniqueCount="130">
  <si>
    <t>% выпол-нения</t>
  </si>
  <si>
    <t>I.</t>
  </si>
  <si>
    <t>тыс.тенге</t>
  </si>
  <si>
    <t>1.</t>
  </si>
  <si>
    <t>1.1.</t>
  </si>
  <si>
    <t>1.2.</t>
  </si>
  <si>
    <t>1.3.</t>
  </si>
  <si>
    <t>1.4.</t>
  </si>
  <si>
    <t>2.</t>
  </si>
  <si>
    <t>2.1.</t>
  </si>
  <si>
    <t>2.2.</t>
  </si>
  <si>
    <t>3.</t>
  </si>
  <si>
    <t>3.1.</t>
  </si>
  <si>
    <t>3.2.</t>
  </si>
  <si>
    <t>4.</t>
  </si>
  <si>
    <t>5.</t>
  </si>
  <si>
    <t>6.</t>
  </si>
  <si>
    <t>II.</t>
  </si>
  <si>
    <t>7.</t>
  </si>
  <si>
    <t>7.1.</t>
  </si>
  <si>
    <t>7.2.</t>
  </si>
  <si>
    <t>7.3.</t>
  </si>
  <si>
    <t>7.4.</t>
  </si>
  <si>
    <t>7.5.</t>
  </si>
  <si>
    <t>7.6.</t>
  </si>
  <si>
    <t>7.7.</t>
  </si>
  <si>
    <t>7.8.</t>
  </si>
  <si>
    <t>7.9.</t>
  </si>
  <si>
    <t>7.10.</t>
  </si>
  <si>
    <t>8.1.</t>
  </si>
  <si>
    <t>8.2.</t>
  </si>
  <si>
    <t>8.3.</t>
  </si>
  <si>
    <t>8.4.</t>
  </si>
  <si>
    <t>8.5.</t>
  </si>
  <si>
    <t>8.6.</t>
  </si>
  <si>
    <t>8.7.</t>
  </si>
  <si>
    <t>8.8.</t>
  </si>
  <si>
    <t>III.</t>
  </si>
  <si>
    <t>IV.</t>
  </si>
  <si>
    <t>V.</t>
  </si>
  <si>
    <t>VI.</t>
  </si>
  <si>
    <t>VII.</t>
  </si>
  <si>
    <t>%</t>
  </si>
  <si>
    <t>VIII.</t>
  </si>
  <si>
    <t>тенге/м³</t>
  </si>
  <si>
    <t>План на 1 полугодие 2023г.</t>
  </si>
  <si>
    <t>Факт за 1 полугодие 2023г.</t>
  </si>
  <si>
    <t>физические лица, организации, занимающиеся производством тепловой энергии, в пределах объемов потребления воды на собственные нужды в процессе производства тепловой энергии и объемов подпитки при предоставлении услуг горячего водоснабжения (при открытой системе горячего водоснабжения), организации, занимающиеся передачей и распределением тепловой энергии, в пределах объемов утвержденных нормативных технических потерь и организации, предоставляющие регулируемые услуги в сфере водоснабжения и (или) водоотведения</t>
  </si>
  <si>
    <t>организации, содержащиеся за счет бюджетных средств</t>
  </si>
  <si>
    <t xml:space="preserve">утвержден  с 1 августа 2022г. (пр.158-ОД от 25.07.2022г)                      </t>
  </si>
  <si>
    <t>3.3.</t>
  </si>
  <si>
    <t>План на 2 полугодие 2023г.</t>
  </si>
  <si>
    <t>Факт за 10 месяцев 2023 г</t>
  </si>
  <si>
    <t>с 01.07.2023г по 31.12.2023г</t>
  </si>
  <si>
    <t>План за 2023г.</t>
  </si>
  <si>
    <t>Факт за 2023 г</t>
  </si>
  <si>
    <t>2023 жылғы 12 айға  Өскемен қаласы әкімдігінің "Өскемен Водоканал" шаруашылық жүргізу құқығындағы МКК көрсетілетін сумен қамту қызметтеріне тарифтік сметаның орындалу барысы туралы ақпарат</t>
  </si>
  <si>
    <t>№ р/с</t>
  </si>
  <si>
    <t>Көрсеткіштердің атауы</t>
  </si>
  <si>
    <t xml:space="preserve">Өлшем бірлігі </t>
  </si>
  <si>
    <t>% орындау</t>
  </si>
  <si>
    <t>2023 жылға жоспар</t>
  </si>
  <si>
    <t>2023 жылға нақты</t>
  </si>
  <si>
    <t>% орындалу</t>
  </si>
  <si>
    <t>Тауарларды өндіруге және қызметтерді көрсетуге шығындар, барлығы</t>
  </si>
  <si>
    <t>Материалдық шығындар, барлығы</t>
  </si>
  <si>
    <t>шикізат және материалдар</t>
  </si>
  <si>
    <t>ЖЖМ</t>
  </si>
  <si>
    <t>электрэнергиясы</t>
  </si>
  <si>
    <t>жылуэнергиясы</t>
  </si>
  <si>
    <t>Еңбекті төлеуге шығындар, барлығы</t>
  </si>
  <si>
    <t>заработная плата производственного персонала</t>
  </si>
  <si>
    <t>отчисления от заработной платы</t>
  </si>
  <si>
    <t>Амортизация, БАРЛЫҒЫ:</t>
  </si>
  <si>
    <t>Инвестициялық бағдарламаны орындауға</t>
  </si>
  <si>
    <t>ЕЖДБ кредиті бойынша негізгі қарызды қайтаруға</t>
  </si>
  <si>
    <t>Нұрлы Жол кредиті бойынша негізгі қарызды қайтаруға</t>
  </si>
  <si>
    <t>Негізгі қорлар құнының өсуіне әкелмейтін ағымдағы және күрделі жөндеу және басқа да жөндеу-қалпына келтіру жұмыстары</t>
  </si>
  <si>
    <t>Шет ұйымдармен орындалатын өндірістік сипаттағы жұмыстар мен қызметтерді төлеу</t>
  </si>
  <si>
    <t>Басқа шығындар</t>
  </si>
  <si>
    <t>Кезең шығындары барлығы, о.і.</t>
  </si>
  <si>
    <t>Жалпы және әкімшілік шығындар, барлығы</t>
  </si>
  <si>
    <t>Еңбекті төлеуге шығындар, барлығы, о.і.</t>
  </si>
  <si>
    <t>заработная плата административного персонала</t>
  </si>
  <si>
    <t>Салықтар</t>
  </si>
  <si>
    <t>Сан тазарту</t>
  </si>
  <si>
    <t>ЕЖДБ кредиттері бойынша сыйақылар</t>
  </si>
  <si>
    <t>Нұрлы Жол кредиттері бойынша сыйақылар</t>
  </si>
  <si>
    <t>Негізгі қорлардың тозуы</t>
  </si>
  <si>
    <t>Материалдық емес активтердің амортизациясы</t>
  </si>
  <si>
    <t>Электрэнергия</t>
  </si>
  <si>
    <t>Жылуэнергия</t>
  </si>
  <si>
    <t>Ұстауға материалдар</t>
  </si>
  <si>
    <t>Басқа әкімшілік шығындар</t>
  </si>
  <si>
    <t>ЕЖДБ, Нұрлы Жол кредиттер бойынша сыйақылар:</t>
  </si>
  <si>
    <t>Өткізу қызметін ұстауға арналған шығындар</t>
  </si>
  <si>
    <t>Еңбек жалақысы және еңбек жалақысының аударымдары</t>
  </si>
  <si>
    <t xml:space="preserve">Заработная плата     </t>
  </si>
  <si>
    <t>Отчисления от заработной платы</t>
  </si>
  <si>
    <t>Негізгі құралдардың амортизациясы</t>
  </si>
  <si>
    <t>Өткізу қызметін ұстауға арналған өзге де шығындар</t>
  </si>
  <si>
    <t>Қызметтерді көрсетуге барлық шығындар</t>
  </si>
  <si>
    <t>Кіріс</t>
  </si>
  <si>
    <t>Барлық кірістер</t>
  </si>
  <si>
    <t>Тарифтік сметаның және инвестициялық бағдарламаның орындалуын талдау қорытындылары бойынша белгіленген негізсіз алынған табыс сомасы</t>
  </si>
  <si>
    <t>Негізсіз алынған табыс сомасын есепке алумен барлық кірістер оның ішінде:</t>
  </si>
  <si>
    <t>Көрсетілетін қызметтер көлемі</t>
  </si>
  <si>
    <t>жылу энергиясын өндірумен айналысатын жеке тұлғалар, ұйымдар, жылу энергиясын өндіру процесінде өз мұқтаждарына суды тұтыну көлемі шегінде және ыстық сумен қамту қызметтерін көрсету кезінде (ыстық сумен қамтудың ашық жүйесі кезінде), жылу энергиясын берумен және бөлумен айналысатын ұйымдар, бекітілген нормативтік техникалық ысыраптар көлемі шегінде және жылу энергиясын өндірумен айналысатын ұйымдармен реттеліп сумен жабдықтау және (немесе) су бұру саласындағы қызметтер</t>
  </si>
  <si>
    <t>бюджет қаражаты есебінен ұсталатын ұйымдар</t>
  </si>
  <si>
    <t>басқа тұтынушылар - бірінші және үшінші топтардың құрамына кірмейтін заңды тұлғалар</t>
  </si>
  <si>
    <t>Нормативтік техникалық шығындар</t>
  </si>
  <si>
    <t xml:space="preserve">   -"- табиғи көрсеткіштерде</t>
  </si>
  <si>
    <t xml:space="preserve"> Тариф </t>
  </si>
  <si>
    <t>01.01.2023ж бастап 30.06.2023ж қоса алғанда</t>
  </si>
  <si>
    <t>Анықтамалық:</t>
  </si>
  <si>
    <t>Персоналдың ортатізімдік саны</t>
  </si>
  <si>
    <t>оның ішінде:</t>
  </si>
  <si>
    <t>өндірістік персоналдың</t>
  </si>
  <si>
    <t>әкімшілік персоналдың</t>
  </si>
  <si>
    <t>қызметтік автокөліктер жүргізушілерінің</t>
  </si>
  <si>
    <t>қызметтерді жүзеге асыру қызметі персоналының</t>
  </si>
  <si>
    <t>Ортаайлық еңбек жалақысы, барлығы,</t>
  </si>
  <si>
    <t>мың.теңге</t>
  </si>
  <si>
    <t>мың.м³</t>
  </si>
  <si>
    <t>теңге/м³</t>
  </si>
  <si>
    <t>адам</t>
  </si>
  <si>
    <t>теңге</t>
  </si>
  <si>
    <t>8.1-8.2</t>
  </si>
  <si>
    <t>төлем тапсырмаларын өңдеу және жеткізу қызметі</t>
  </si>
  <si>
    <t>8.8.7</t>
  </si>
</sst>
</file>

<file path=xl/styles.xml><?xml version="1.0" encoding="utf-8"?>
<styleSheet xmlns="http://schemas.openxmlformats.org/spreadsheetml/2006/main">
  <numFmts count="3">
    <numFmt numFmtId="164" formatCode="#,##0.0"/>
    <numFmt numFmtId="165" formatCode="0.0%"/>
    <numFmt numFmtId="166" formatCode="0.0"/>
  </numFmts>
  <fonts count="28">
    <font>
      <sz val="10"/>
      <name val="Arial Cyr"/>
      <charset val="204"/>
    </font>
    <font>
      <sz val="10"/>
      <name val="Arial Cyr"/>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Times New Roman"/>
      <family val="1"/>
      <charset val="204"/>
    </font>
    <font>
      <i/>
      <sz val="10"/>
      <name val="Times New Roman"/>
      <family val="1"/>
      <charset val="204"/>
    </font>
    <font>
      <b/>
      <sz val="10"/>
      <name val="Times New Roman"/>
      <family val="1"/>
      <charset val="204"/>
    </font>
    <font>
      <b/>
      <i/>
      <sz val="10"/>
      <name val="Times New Roman"/>
      <family val="1"/>
      <charset val="204"/>
    </font>
    <font>
      <sz val="10"/>
      <color indexed="10"/>
      <name val="Times New Roman"/>
      <family val="1"/>
      <charset val="204"/>
    </font>
    <font>
      <b/>
      <sz val="10"/>
      <color indexed="10"/>
      <name val="Times New Roman"/>
      <family val="1"/>
      <charset val="204"/>
    </font>
    <font>
      <sz val="10"/>
      <color rgb="FFFF0000"/>
      <name val="Times New Roman"/>
      <family val="1"/>
      <charset val="204"/>
    </font>
    <font>
      <sz val="10"/>
      <name val="Arial Cyr"/>
      <charset val="204"/>
    </font>
    <font>
      <b/>
      <u/>
      <sz val="12"/>
      <name val="Arial Cyr"/>
      <charset val="204"/>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6" tint="0.59999389629810485"/>
        <bgColor indexed="64"/>
      </patternFill>
    </fill>
    <fill>
      <patternFill patternType="solid">
        <fgColor theme="5" tint="0.59999389629810485"/>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s>
  <cellStyleXfs count="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20" borderId="1" applyNumberFormat="0" applyAlignment="0" applyProtection="0"/>
    <xf numFmtId="0" fontId="7" fillId="0" borderId="3" applyNumberFormat="0" applyFill="0" applyAlignment="0" applyProtection="0"/>
    <xf numFmtId="0" fontId="8" fillId="0" borderId="4" applyNumberFormat="0" applyFill="0" applyAlignment="0" applyProtection="0"/>
    <xf numFmtId="0" fontId="9" fillId="0" borderId="5" applyNumberFormat="0" applyFill="0" applyAlignment="0" applyProtection="0"/>
    <xf numFmtId="0" fontId="9" fillId="0" borderId="0" applyNumberFormat="0" applyFill="0" applyBorder="0" applyAlignment="0" applyProtection="0"/>
    <xf numFmtId="0" fontId="10" fillId="0" borderId="6" applyNumberFormat="0" applyFill="0" applyAlignment="0" applyProtection="0"/>
    <xf numFmtId="0" fontId="11" fillId="21" borderId="7" applyNumberFormat="0" applyAlignment="0" applyProtection="0"/>
    <xf numFmtId="0" fontId="12" fillId="0" borderId="0" applyNumberFormat="0" applyFill="0" applyBorder="0" applyAlignment="0" applyProtection="0"/>
    <xf numFmtId="0" fontId="13" fillId="22" borderId="0" applyNumberFormat="0" applyBorder="0" applyAlignment="0" applyProtection="0"/>
    <xf numFmtId="0" fontId="14" fillId="3" borderId="0" applyNumberFormat="0" applyBorder="0" applyAlignment="0" applyProtection="0"/>
    <xf numFmtId="0" fontId="15" fillId="0" borderId="0" applyNumberFormat="0" applyFill="0" applyBorder="0" applyAlignment="0" applyProtection="0"/>
    <xf numFmtId="0" fontId="1" fillId="23" borderId="8" applyNumberFormat="0" applyFont="0" applyAlignment="0" applyProtection="0"/>
    <xf numFmtId="9" fontId="1" fillId="0" borderId="0" applyFont="0" applyFill="0" applyBorder="0" applyAlignment="0" applyProtection="0"/>
    <xf numFmtId="0" fontId="16" fillId="0" borderId="9" applyNumberFormat="0" applyFill="0" applyAlignment="0" applyProtection="0"/>
    <xf numFmtId="0" fontId="17" fillId="0" borderId="0" applyNumberFormat="0" applyFill="0" applyBorder="0" applyAlignment="0" applyProtection="0"/>
    <xf numFmtId="0" fontId="18" fillId="4" borderId="0" applyNumberFormat="0" applyBorder="0" applyAlignment="0" applyProtection="0"/>
    <xf numFmtId="9" fontId="26" fillId="0" borderId="0" applyFont="0" applyFill="0" applyBorder="0" applyAlignment="0" applyProtection="0"/>
  </cellStyleXfs>
  <cellXfs count="157">
    <xf numFmtId="0" fontId="0" fillId="0" borderId="0" xfId="0"/>
    <xf numFmtId="0" fontId="19" fillId="0" borderId="0" xfId="0" applyFont="1" applyFill="1" applyAlignment="1">
      <alignment vertical="center"/>
    </xf>
    <xf numFmtId="0" fontId="19" fillId="0" borderId="0" xfId="0" applyFont="1" applyFill="1" applyBorder="1" applyAlignment="1">
      <alignment horizontal="center" vertical="center"/>
    </xf>
    <xf numFmtId="0" fontId="19" fillId="0" borderId="0" xfId="0" applyFont="1" applyFill="1" applyBorder="1" applyAlignment="1">
      <alignment vertical="center"/>
    </xf>
    <xf numFmtId="0" fontId="21" fillId="0" borderId="10" xfId="0" applyFont="1" applyFill="1" applyBorder="1" applyAlignment="1">
      <alignment horizontal="center" vertical="center"/>
    </xf>
    <xf numFmtId="164" fontId="19" fillId="0" borderId="0" xfId="0" applyNumberFormat="1" applyFont="1" applyFill="1" applyAlignment="1">
      <alignment vertical="center"/>
    </xf>
    <xf numFmtId="0" fontId="22" fillId="0" borderId="11" xfId="0" applyFont="1" applyFill="1" applyBorder="1" applyAlignment="1">
      <alignment horizontal="center" vertical="center"/>
    </xf>
    <xf numFmtId="0" fontId="22" fillId="0" borderId="0" xfId="0" applyFont="1" applyFill="1" applyAlignment="1">
      <alignment vertical="center"/>
    </xf>
    <xf numFmtId="16" fontId="19" fillId="0" borderId="12" xfId="0" applyNumberFormat="1" applyFont="1" applyFill="1" applyBorder="1" applyAlignment="1">
      <alignment horizontal="center" vertical="center"/>
    </xf>
    <xf numFmtId="16" fontId="19" fillId="0" borderId="13" xfId="0" applyNumberFormat="1" applyFont="1" applyFill="1" applyBorder="1" applyAlignment="1">
      <alignment horizontal="center" vertical="center"/>
    </xf>
    <xf numFmtId="0" fontId="22" fillId="0" borderId="12" xfId="0" applyFont="1" applyFill="1" applyBorder="1" applyAlignment="1">
      <alignment horizontal="center" vertical="center"/>
    </xf>
    <xf numFmtId="16" fontId="22" fillId="0" borderId="12" xfId="0" applyNumberFormat="1" applyFont="1" applyFill="1" applyBorder="1" applyAlignment="1">
      <alignment horizontal="center" vertical="center"/>
    </xf>
    <xf numFmtId="0" fontId="19" fillId="0" borderId="12" xfId="0" applyFont="1" applyFill="1" applyBorder="1" applyAlignment="1">
      <alignment horizontal="center" vertical="center"/>
    </xf>
    <xf numFmtId="0" fontId="19" fillId="0" borderId="14" xfId="0" applyFont="1" applyFill="1" applyBorder="1" applyAlignment="1">
      <alignment vertical="center"/>
    </xf>
    <xf numFmtId="4" fontId="21" fillId="0" borderId="14" xfId="0" applyNumberFormat="1" applyFont="1" applyFill="1" applyBorder="1" applyAlignment="1">
      <alignment horizontal="center" vertical="center"/>
    </xf>
    <xf numFmtId="165" fontId="21" fillId="0" borderId="15" xfId="39" applyNumberFormat="1" applyFont="1" applyFill="1" applyBorder="1" applyAlignment="1">
      <alignment horizontal="center" vertical="center"/>
    </xf>
    <xf numFmtId="0" fontId="22" fillId="0" borderId="16" xfId="0" applyFont="1" applyFill="1" applyBorder="1" applyAlignment="1">
      <alignment horizontal="center" vertical="center"/>
    </xf>
    <xf numFmtId="0" fontId="21" fillId="0" borderId="17" xfId="0" applyFont="1" applyFill="1" applyBorder="1" applyAlignment="1">
      <alignment horizontal="center" vertical="center"/>
    </xf>
    <xf numFmtId="4" fontId="19" fillId="24" borderId="14" xfId="0" applyNumberFormat="1" applyFont="1" applyFill="1" applyBorder="1" applyAlignment="1">
      <alignment horizontal="center" vertical="center"/>
    </xf>
    <xf numFmtId="165" fontId="19" fillId="24" borderId="15" xfId="39" applyNumberFormat="1" applyFont="1" applyFill="1" applyBorder="1" applyAlignment="1">
      <alignment horizontal="center" vertical="center"/>
    </xf>
    <xf numFmtId="0" fontId="20" fillId="0" borderId="0" xfId="0" applyFont="1" applyFill="1" applyAlignment="1">
      <alignment vertical="center"/>
    </xf>
    <xf numFmtId="4" fontId="19" fillId="0" borderId="14" xfId="0" applyNumberFormat="1" applyFont="1" applyFill="1" applyBorder="1" applyAlignment="1">
      <alignment horizontal="center" vertical="center"/>
    </xf>
    <xf numFmtId="4" fontId="19" fillId="0" borderId="14" xfId="0" applyNumberFormat="1" applyFont="1" applyFill="1" applyBorder="1" applyAlignment="1">
      <alignment horizontal="center" vertical="center" wrapText="1"/>
    </xf>
    <xf numFmtId="165" fontId="19" fillId="0" borderId="15" xfId="39" applyNumberFormat="1" applyFont="1" applyFill="1" applyBorder="1" applyAlignment="1">
      <alignment horizontal="center" vertical="center" wrapText="1"/>
    </xf>
    <xf numFmtId="165" fontId="19" fillId="0" borderId="15" xfId="39" applyNumberFormat="1" applyFont="1" applyFill="1" applyBorder="1" applyAlignment="1">
      <alignment horizontal="center" vertical="center"/>
    </xf>
    <xf numFmtId="49" fontId="19" fillId="24" borderId="11" xfId="0" applyNumberFormat="1" applyFont="1" applyFill="1" applyBorder="1" applyAlignment="1">
      <alignment horizontal="center" vertical="center"/>
    </xf>
    <xf numFmtId="0" fontId="21" fillId="0" borderId="0" xfId="0" applyFont="1" applyFill="1" applyAlignment="1">
      <alignment vertical="center"/>
    </xf>
    <xf numFmtId="165" fontId="19" fillId="24" borderId="15" xfId="39" applyNumberFormat="1" applyFont="1" applyFill="1" applyBorder="1" applyAlignment="1">
      <alignment horizontal="center" vertical="center" wrapText="1"/>
    </xf>
    <xf numFmtId="4" fontId="19" fillId="24" borderId="14" xfId="0" applyNumberFormat="1" applyFont="1" applyFill="1" applyBorder="1" applyAlignment="1">
      <alignment horizontal="center" vertical="center" wrapText="1"/>
    </xf>
    <xf numFmtId="0" fontId="21" fillId="24" borderId="17" xfId="0" applyFont="1" applyFill="1" applyBorder="1" applyAlignment="1">
      <alignment horizontal="center" vertical="center"/>
    </xf>
    <xf numFmtId="0" fontId="21" fillId="24" borderId="10" xfId="0" applyFont="1" applyFill="1" applyBorder="1" applyAlignment="1">
      <alignment horizontal="center" vertical="center"/>
    </xf>
    <xf numFmtId="0" fontId="21" fillId="24" borderId="12" xfId="0" applyFont="1" applyFill="1" applyBorder="1" applyAlignment="1">
      <alignment horizontal="center" vertical="center"/>
    </xf>
    <xf numFmtId="0" fontId="21" fillId="0" borderId="18"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0" xfId="0" applyFont="1" applyFill="1" applyBorder="1" applyAlignment="1">
      <alignment vertical="center"/>
    </xf>
    <xf numFmtId="164" fontId="21" fillId="0" borderId="0" xfId="0" applyNumberFormat="1" applyFont="1" applyFill="1" applyBorder="1" applyAlignment="1">
      <alignment horizontal="center" vertical="center"/>
    </xf>
    <xf numFmtId="0" fontId="19" fillId="0" borderId="0" xfId="0" applyFont="1" applyFill="1" applyAlignment="1">
      <alignment horizontal="center" vertical="center"/>
    </xf>
    <xf numFmtId="0" fontId="21" fillId="0" borderId="14" xfId="0" applyFont="1" applyFill="1" applyBorder="1" applyAlignment="1">
      <alignment horizontal="center" vertical="center"/>
    </xf>
    <xf numFmtId="0" fontId="19" fillId="0" borderId="14" xfId="0" applyFont="1" applyFill="1" applyBorder="1" applyAlignment="1">
      <alignment horizontal="center" vertical="center"/>
    </xf>
    <xf numFmtId="0" fontId="20" fillId="0" borderId="14" xfId="0" applyFont="1" applyFill="1" applyBorder="1" applyAlignment="1">
      <alignment horizontal="center" vertical="center"/>
    </xf>
    <xf numFmtId="49" fontId="21" fillId="0" borderId="0" xfId="0" applyNumberFormat="1" applyFont="1" applyFill="1" applyBorder="1" applyAlignment="1">
      <alignment horizontal="center" vertical="center" wrapText="1"/>
    </xf>
    <xf numFmtId="0" fontId="21"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1" fillId="0" borderId="0" xfId="0" applyFont="1" applyFill="1" applyBorder="1" applyAlignment="1">
      <alignment vertical="center" wrapText="1"/>
    </xf>
    <xf numFmtId="0" fontId="19" fillId="24" borderId="14" xfId="0" applyFont="1" applyFill="1" applyBorder="1" applyAlignment="1">
      <alignment horizontal="center" vertical="center"/>
    </xf>
    <xf numFmtId="0" fontId="20" fillId="24" borderId="14" xfId="0" applyFont="1" applyFill="1" applyBorder="1" applyAlignment="1">
      <alignment horizontal="center" vertical="center"/>
    </xf>
    <xf numFmtId="4" fontId="19" fillId="0" borderId="14" xfId="0" applyNumberFormat="1" applyFont="1" applyFill="1" applyBorder="1" applyAlignment="1">
      <alignment horizontal="center" vertical="top" wrapText="1"/>
    </xf>
    <xf numFmtId="0" fontId="22" fillId="0" borderId="19" xfId="0" applyFont="1" applyFill="1" applyBorder="1" applyAlignment="1">
      <alignment horizontal="center" vertical="center"/>
    </xf>
    <xf numFmtId="0" fontId="22" fillId="0" borderId="18" xfId="0" applyFont="1" applyFill="1" applyBorder="1" applyAlignment="1">
      <alignment horizontal="center" vertical="center"/>
    </xf>
    <xf numFmtId="0" fontId="19" fillId="24" borderId="19" xfId="0" applyFont="1" applyFill="1" applyBorder="1" applyAlignment="1">
      <alignment horizontal="center" vertical="center"/>
    </xf>
    <xf numFmtId="0" fontId="20" fillId="24" borderId="19" xfId="0" applyFont="1" applyFill="1" applyBorder="1" applyAlignment="1">
      <alignment horizontal="center" vertical="center"/>
    </xf>
    <xf numFmtId="0" fontId="19" fillId="0" borderId="11" xfId="0" applyFont="1" applyFill="1" applyBorder="1" applyAlignment="1">
      <alignment horizontal="center" vertical="center"/>
    </xf>
    <xf numFmtId="14" fontId="19" fillId="0" borderId="19" xfId="0" applyNumberFormat="1" applyFont="1" applyFill="1" applyBorder="1" applyAlignment="1">
      <alignment horizontal="center" vertical="center"/>
    </xf>
    <xf numFmtId="49" fontId="19" fillId="0" borderId="19" xfId="0" applyNumberFormat="1" applyFont="1" applyFill="1" applyBorder="1" applyAlignment="1">
      <alignment horizontal="center" vertical="center"/>
    </xf>
    <xf numFmtId="166" fontId="19" fillId="24" borderId="19" xfId="0" applyNumberFormat="1" applyFont="1" applyFill="1" applyBorder="1" applyAlignment="1">
      <alignment horizontal="center" vertical="center"/>
    </xf>
    <xf numFmtId="0" fontId="21" fillId="0" borderId="20" xfId="0" applyFont="1" applyFill="1" applyBorder="1" applyAlignment="1">
      <alignment vertical="center" wrapText="1"/>
    </xf>
    <xf numFmtId="0" fontId="22" fillId="0" borderId="20" xfId="0" applyFont="1" applyFill="1" applyBorder="1" applyAlignment="1">
      <alignment vertical="center"/>
    </xf>
    <xf numFmtId="0" fontId="22" fillId="0" borderId="14" xfId="0" applyFont="1" applyFill="1" applyBorder="1" applyAlignment="1">
      <alignment horizontal="center" vertical="center"/>
    </xf>
    <xf numFmtId="0" fontId="19" fillId="0" borderId="20" xfId="0" applyFont="1" applyFill="1" applyBorder="1" applyAlignment="1">
      <alignment vertical="center"/>
    </xf>
    <xf numFmtId="0" fontId="22" fillId="0" borderId="20" xfId="0" applyFont="1" applyFill="1" applyBorder="1" applyAlignment="1">
      <alignment vertical="center" wrapText="1"/>
    </xf>
    <xf numFmtId="0" fontId="19" fillId="24" borderId="20" xfId="0" applyFont="1" applyFill="1" applyBorder="1" applyAlignment="1">
      <alignment vertical="center" wrapText="1"/>
    </xf>
    <xf numFmtId="0" fontId="19" fillId="24" borderId="20" xfId="0" applyFont="1" applyFill="1" applyBorder="1" applyAlignment="1">
      <alignment vertical="center"/>
    </xf>
    <xf numFmtId="0" fontId="21" fillId="0" borderId="20" xfId="0" applyFont="1" applyFill="1" applyBorder="1" applyAlignment="1">
      <alignment vertical="center"/>
    </xf>
    <xf numFmtId="0" fontId="20" fillId="24" borderId="20" xfId="0" applyFont="1" applyFill="1" applyBorder="1" applyAlignment="1">
      <alignment vertical="center" wrapText="1"/>
    </xf>
    <xf numFmtId="0" fontId="20" fillId="24" borderId="20" xfId="0" applyFont="1" applyFill="1" applyBorder="1" applyAlignment="1">
      <alignment vertical="center"/>
    </xf>
    <xf numFmtId="0" fontId="19" fillId="0" borderId="20" xfId="0" applyFont="1" applyFill="1" applyBorder="1" applyAlignment="1">
      <alignment vertical="center" wrapText="1"/>
    </xf>
    <xf numFmtId="4" fontId="21" fillId="0" borderId="14" xfId="0" applyNumberFormat="1" applyFont="1" applyFill="1" applyBorder="1" applyAlignment="1">
      <alignment horizontal="center" vertical="center" wrapText="1"/>
    </xf>
    <xf numFmtId="165" fontId="21" fillId="0" borderId="15" xfId="39" applyNumberFormat="1" applyFont="1" applyFill="1" applyBorder="1" applyAlignment="1">
      <alignment horizontal="center" vertical="center" wrapText="1"/>
    </xf>
    <xf numFmtId="0" fontId="19" fillId="24" borderId="20" xfId="0" applyFont="1" applyFill="1" applyBorder="1" applyAlignment="1">
      <alignment horizontal="left" vertical="center"/>
    </xf>
    <xf numFmtId="0" fontId="21" fillId="24" borderId="20" xfId="0" applyFont="1" applyFill="1" applyBorder="1" applyAlignment="1">
      <alignment vertical="center" wrapText="1"/>
    </xf>
    <xf numFmtId="0" fontId="21" fillId="24" borderId="14" xfId="0" applyFont="1" applyFill="1" applyBorder="1" applyAlignment="1">
      <alignment horizontal="center" vertical="center"/>
    </xf>
    <xf numFmtId="4" fontId="21" fillId="24" borderId="14" xfId="0" applyNumberFormat="1" applyFont="1" applyFill="1" applyBorder="1" applyAlignment="1">
      <alignment horizontal="center" vertical="center"/>
    </xf>
    <xf numFmtId="165" fontId="21" fillId="24" borderId="15" xfId="39" applyNumberFormat="1" applyFont="1" applyFill="1" applyBorder="1" applyAlignment="1">
      <alignment horizontal="center" vertical="center"/>
    </xf>
    <xf numFmtId="0" fontId="21" fillId="24" borderId="20" xfId="0" applyFont="1" applyFill="1" applyBorder="1" applyAlignment="1">
      <alignment vertical="center"/>
    </xf>
    <xf numFmtId="0" fontId="20" fillId="0" borderId="20" xfId="0" applyFont="1" applyFill="1" applyBorder="1" applyAlignment="1">
      <alignment vertical="center"/>
    </xf>
    <xf numFmtId="0" fontId="19" fillId="0" borderId="21" xfId="0" applyFont="1" applyFill="1" applyBorder="1" applyAlignment="1">
      <alignment horizontal="center" vertical="center"/>
    </xf>
    <xf numFmtId="4" fontId="19" fillId="0" borderId="21" xfId="0" applyNumberFormat="1" applyFont="1" applyFill="1" applyBorder="1" applyAlignment="1">
      <alignment horizontal="center" vertical="center" wrapText="1"/>
    </xf>
    <xf numFmtId="4" fontId="19" fillId="0" borderId="15" xfId="0" applyNumberFormat="1" applyFont="1" applyFill="1" applyBorder="1" applyAlignment="1">
      <alignment horizontal="center" vertical="center"/>
    </xf>
    <xf numFmtId="0" fontId="19" fillId="0" borderId="20" xfId="0" applyFont="1" applyFill="1" applyBorder="1" applyAlignment="1">
      <alignment horizontal="left" vertical="center"/>
    </xf>
    <xf numFmtId="14" fontId="20" fillId="0" borderId="19" xfId="0" applyNumberFormat="1" applyFont="1" applyFill="1" applyBorder="1" applyAlignment="1">
      <alignment horizontal="center" vertical="center"/>
    </xf>
    <xf numFmtId="4" fontId="20" fillId="0" borderId="14" xfId="0" applyNumberFormat="1" applyFont="1" applyFill="1" applyBorder="1" applyAlignment="1">
      <alignment horizontal="center" vertical="center"/>
    </xf>
    <xf numFmtId="0" fontId="22" fillId="0" borderId="14" xfId="0" applyFont="1" applyFill="1" applyBorder="1" applyAlignment="1">
      <alignment horizontal="center" vertical="center" wrapText="1"/>
    </xf>
    <xf numFmtId="4" fontId="19" fillId="0" borderId="21" xfId="0" applyNumberFormat="1" applyFont="1" applyFill="1" applyBorder="1" applyAlignment="1">
      <alignment horizontal="center" vertical="top" wrapText="1"/>
    </xf>
    <xf numFmtId="4" fontId="19" fillId="0" borderId="15" xfId="0" applyNumberFormat="1" applyFont="1" applyFill="1" applyBorder="1" applyAlignment="1">
      <alignment horizontal="center" vertical="center" wrapText="1"/>
    </xf>
    <xf numFmtId="4" fontId="19" fillId="0" borderId="22" xfId="0" applyNumberFormat="1" applyFont="1" applyFill="1" applyBorder="1" applyAlignment="1">
      <alignment horizontal="center" vertical="center" wrapText="1"/>
    </xf>
    <xf numFmtId="0" fontId="21" fillId="24" borderId="23" xfId="0" applyFont="1" applyFill="1" applyBorder="1" applyAlignment="1">
      <alignment horizontal="center" vertical="center"/>
    </xf>
    <xf numFmtId="0" fontId="21" fillId="0" borderId="0" xfId="0" applyFont="1" applyFill="1" applyAlignment="1">
      <alignment vertical="center" wrapText="1"/>
    </xf>
    <xf numFmtId="0" fontId="21" fillId="24" borderId="24" xfId="0" applyFont="1" applyFill="1" applyBorder="1" applyAlignment="1">
      <alignment horizontal="center" vertical="center"/>
    </xf>
    <xf numFmtId="0" fontId="21" fillId="24" borderId="25" xfId="0" applyFont="1" applyFill="1" applyBorder="1" applyAlignment="1">
      <alignment vertical="center"/>
    </xf>
    <xf numFmtId="0" fontId="19" fillId="0" borderId="15" xfId="0" applyFont="1" applyFill="1" applyBorder="1" applyAlignment="1">
      <alignment vertical="center"/>
    </xf>
    <xf numFmtId="4" fontId="19" fillId="25" borderId="14" xfId="0" applyNumberFormat="1" applyFont="1" applyFill="1" applyBorder="1" applyAlignment="1">
      <alignment horizontal="center" vertical="center"/>
    </xf>
    <xf numFmtId="165" fontId="21" fillId="0" borderId="15" xfId="43" applyNumberFormat="1" applyFont="1" applyFill="1" applyBorder="1" applyAlignment="1">
      <alignment horizontal="center" vertical="center"/>
    </xf>
    <xf numFmtId="0" fontId="19" fillId="25" borderId="0" xfId="0" applyFont="1" applyFill="1" applyAlignment="1">
      <alignment horizontal="center" vertical="center"/>
    </xf>
    <xf numFmtId="164" fontId="19" fillId="25" borderId="0" xfId="0" applyNumberFormat="1" applyFont="1" applyFill="1" applyAlignment="1">
      <alignment horizontal="center" vertical="center"/>
    </xf>
    <xf numFmtId="0" fontId="21" fillId="25" borderId="14" xfId="0" applyFont="1" applyFill="1" applyBorder="1" applyAlignment="1">
      <alignment horizontal="center" vertical="center"/>
    </xf>
    <xf numFmtId="164" fontId="21" fillId="25" borderId="14" xfId="0" applyNumberFormat="1" applyFont="1" applyFill="1" applyBorder="1" applyAlignment="1">
      <alignment horizontal="center" vertical="center"/>
    </xf>
    <xf numFmtId="4" fontId="21" fillId="25" borderId="14" xfId="0" applyNumberFormat="1" applyFont="1" applyFill="1" applyBorder="1" applyAlignment="1">
      <alignment horizontal="center" vertical="center"/>
    </xf>
    <xf numFmtId="165" fontId="21" fillId="25" borderId="14" xfId="39" applyNumberFormat="1" applyFont="1" applyFill="1" applyBorder="1" applyAlignment="1">
      <alignment horizontal="center" vertical="center"/>
    </xf>
    <xf numFmtId="0" fontId="19" fillId="25" borderId="14" xfId="0" applyFont="1" applyFill="1" applyBorder="1" applyAlignment="1">
      <alignment horizontal="center" vertical="center"/>
    </xf>
    <xf numFmtId="164" fontId="23" fillId="25" borderId="14" xfId="0" applyNumberFormat="1" applyFont="1" applyFill="1" applyBorder="1" applyAlignment="1">
      <alignment horizontal="center" vertical="center"/>
    </xf>
    <xf numFmtId="164" fontId="19" fillId="25" borderId="14" xfId="0" applyNumberFormat="1" applyFont="1" applyFill="1" applyBorder="1" applyAlignment="1">
      <alignment horizontal="center" vertical="center"/>
    </xf>
    <xf numFmtId="165" fontId="19" fillId="25" borderId="14" xfId="39" applyNumberFormat="1" applyFont="1" applyFill="1" applyBorder="1" applyAlignment="1">
      <alignment horizontal="center" vertical="center"/>
    </xf>
    <xf numFmtId="16" fontId="19" fillId="25" borderId="14" xfId="0" applyNumberFormat="1" applyFont="1" applyFill="1" applyBorder="1" applyAlignment="1">
      <alignment horizontal="center" vertical="center"/>
    </xf>
    <xf numFmtId="3" fontId="21" fillId="25" borderId="14" xfId="0" applyNumberFormat="1" applyFont="1" applyFill="1" applyBorder="1" applyAlignment="1">
      <alignment horizontal="center" vertical="center"/>
    </xf>
    <xf numFmtId="164" fontId="25" fillId="25" borderId="14" xfId="0" applyNumberFormat="1" applyFont="1" applyFill="1" applyBorder="1" applyAlignment="1">
      <alignment horizontal="center" vertical="center"/>
    </xf>
    <xf numFmtId="3" fontId="19" fillId="25" borderId="14" xfId="0" applyNumberFormat="1" applyFont="1" applyFill="1" applyBorder="1" applyAlignment="1">
      <alignment horizontal="center" vertical="center"/>
    </xf>
    <xf numFmtId="0" fontId="19" fillId="0" borderId="0" xfId="0" applyFont="1" applyFill="1" applyAlignment="1">
      <alignment horizontal="centerContinuous" vertical="center"/>
    </xf>
    <xf numFmtId="0" fontId="19" fillId="0" borderId="0" xfId="0" applyFont="1" applyFill="1" applyBorder="1" applyAlignment="1">
      <alignment horizontal="centerContinuous" vertical="center"/>
    </xf>
    <xf numFmtId="165" fontId="20" fillId="0" borderId="15" xfId="43" applyNumberFormat="1" applyFont="1" applyFill="1" applyBorder="1" applyAlignment="1">
      <alignment horizontal="center" vertical="center" wrapText="1"/>
    </xf>
    <xf numFmtId="164" fontId="20" fillId="26" borderId="14" xfId="0" applyNumberFormat="1" applyFont="1" applyFill="1" applyBorder="1" applyAlignment="1">
      <alignment horizontal="center" vertical="center"/>
    </xf>
    <xf numFmtId="165" fontId="19" fillId="0" borderId="15" xfId="43" applyNumberFormat="1" applyFont="1" applyFill="1" applyBorder="1" applyAlignment="1">
      <alignment horizontal="center" vertical="center" wrapText="1"/>
    </xf>
    <xf numFmtId="0" fontId="19" fillId="24" borderId="20" xfId="0" applyFont="1" applyFill="1" applyBorder="1" applyAlignment="1">
      <alignment horizontal="left" vertical="center" wrapText="1"/>
    </xf>
    <xf numFmtId="0" fontId="21" fillId="0" borderId="26" xfId="0" applyFont="1" applyFill="1" applyBorder="1" applyAlignment="1">
      <alignment vertical="center" wrapText="1"/>
    </xf>
    <xf numFmtId="0" fontId="21" fillId="0" borderId="14" xfId="0" applyFont="1" applyFill="1" applyBorder="1" applyAlignment="1">
      <alignment vertical="center" wrapText="1"/>
    </xf>
    <xf numFmtId="0" fontId="19" fillId="0" borderId="24" xfId="0" applyFont="1" applyFill="1" applyBorder="1" applyAlignment="1">
      <alignment vertical="center" wrapText="1"/>
    </xf>
    <xf numFmtId="0" fontId="21" fillId="0" borderId="24" xfId="0" applyFont="1" applyFill="1" applyBorder="1" applyAlignment="1">
      <alignment vertical="center"/>
    </xf>
    <xf numFmtId="0" fontId="19" fillId="0" borderId="29" xfId="0" applyFont="1" applyFill="1" applyBorder="1" applyAlignment="1">
      <alignment vertical="center" wrapText="1"/>
    </xf>
    <xf numFmtId="0" fontId="21" fillId="0" borderId="30" xfId="0" applyFont="1" applyFill="1" applyBorder="1" applyAlignment="1">
      <alignment horizontal="center" vertical="center"/>
    </xf>
    <xf numFmtId="166" fontId="19" fillId="24" borderId="32" xfId="0" applyNumberFormat="1" applyFont="1" applyFill="1" applyBorder="1" applyAlignment="1">
      <alignment horizontal="center" vertical="center"/>
    </xf>
    <xf numFmtId="0" fontId="21" fillId="0" borderId="33" xfId="0" applyFont="1" applyFill="1" applyBorder="1" applyAlignment="1">
      <alignment horizontal="center" vertical="center"/>
    </xf>
    <xf numFmtId="0" fontId="21" fillId="0" borderId="31" xfId="0" applyFont="1" applyFill="1" applyBorder="1" applyAlignment="1">
      <alignment horizontal="center" vertical="center"/>
    </xf>
    <xf numFmtId="0" fontId="27" fillId="0" borderId="0" xfId="0" applyFont="1" applyFill="1" applyAlignment="1">
      <alignment horizontal="centerContinuous" vertical="center" wrapText="1"/>
    </xf>
    <xf numFmtId="4" fontId="19" fillId="0" borderId="0" xfId="0" applyNumberFormat="1" applyFont="1" applyFill="1" applyAlignment="1">
      <alignment vertical="center"/>
    </xf>
    <xf numFmtId="166" fontId="19" fillId="24" borderId="36" xfId="0" applyNumberFormat="1" applyFont="1" applyFill="1" applyBorder="1" applyAlignment="1">
      <alignment horizontal="center" vertical="center"/>
    </xf>
    <xf numFmtId="49" fontId="19" fillId="24" borderId="37" xfId="0" applyNumberFormat="1" applyFont="1" applyFill="1" applyBorder="1" applyAlignment="1">
      <alignment horizontal="center" vertical="center"/>
    </xf>
    <xf numFmtId="3" fontId="21" fillId="0" borderId="14" xfId="0" applyNumberFormat="1" applyFont="1" applyFill="1" applyBorder="1" applyAlignment="1">
      <alignment horizontal="center" vertical="center"/>
    </xf>
    <xf numFmtId="3" fontId="19" fillId="0" borderId="14" xfId="0" applyNumberFormat="1" applyFont="1" applyFill="1" applyBorder="1" applyAlignment="1">
      <alignment horizontal="center" vertical="center"/>
    </xf>
    <xf numFmtId="3" fontId="19" fillId="24" borderId="14" xfId="0" applyNumberFormat="1" applyFont="1" applyFill="1" applyBorder="1" applyAlignment="1">
      <alignment horizontal="center" vertical="center"/>
    </xf>
    <xf numFmtId="3" fontId="20" fillId="0" borderId="14" xfId="0" applyNumberFormat="1" applyFont="1" applyFill="1" applyBorder="1" applyAlignment="1">
      <alignment horizontal="center" vertical="center"/>
    </xf>
    <xf numFmtId="3" fontId="21" fillId="0" borderId="14" xfId="0" applyNumberFormat="1" applyFont="1" applyFill="1" applyBorder="1" applyAlignment="1">
      <alignment horizontal="center" vertical="center" wrapText="1"/>
    </xf>
    <xf numFmtId="3" fontId="19" fillId="0" borderId="14" xfId="0" applyNumberFormat="1" applyFont="1" applyFill="1" applyBorder="1" applyAlignment="1">
      <alignment horizontal="center" vertical="center" wrapText="1"/>
    </xf>
    <xf numFmtId="3" fontId="21" fillId="24" borderId="14" xfId="0" applyNumberFormat="1" applyFont="1" applyFill="1" applyBorder="1" applyAlignment="1">
      <alignment horizontal="center" vertical="center"/>
    </xf>
    <xf numFmtId="9" fontId="21" fillId="0" borderId="15" xfId="39" applyNumberFormat="1" applyFont="1" applyFill="1" applyBorder="1" applyAlignment="1">
      <alignment horizontal="center" vertical="center"/>
    </xf>
    <xf numFmtId="9" fontId="19" fillId="0" borderId="15" xfId="39" applyNumberFormat="1" applyFont="1" applyFill="1" applyBorder="1" applyAlignment="1">
      <alignment horizontal="center" vertical="center"/>
    </xf>
    <xf numFmtId="9" fontId="19" fillId="24" borderId="15" xfId="39" applyNumberFormat="1" applyFont="1" applyFill="1" applyBorder="1" applyAlignment="1">
      <alignment horizontal="center" vertical="center"/>
    </xf>
    <xf numFmtId="9" fontId="19" fillId="0" borderId="15" xfId="39" applyNumberFormat="1" applyFont="1" applyFill="1" applyBorder="1" applyAlignment="1">
      <alignment horizontal="center" vertical="center" wrapText="1"/>
    </xf>
    <xf numFmtId="9" fontId="20" fillId="0" borderId="15" xfId="43" applyNumberFormat="1" applyFont="1" applyFill="1" applyBorder="1" applyAlignment="1">
      <alignment horizontal="center" vertical="center" wrapText="1"/>
    </xf>
    <xf numFmtId="9" fontId="19" fillId="24" borderId="15" xfId="39" applyNumberFormat="1" applyFont="1" applyFill="1" applyBorder="1" applyAlignment="1">
      <alignment horizontal="center" vertical="center" wrapText="1"/>
    </xf>
    <xf numFmtId="9" fontId="21" fillId="0" borderId="15" xfId="39" applyNumberFormat="1" applyFont="1" applyFill="1" applyBorder="1" applyAlignment="1">
      <alignment horizontal="center" vertical="center" wrapText="1"/>
    </xf>
    <xf numFmtId="9" fontId="19" fillId="0" borderId="15" xfId="43" applyNumberFormat="1" applyFont="1" applyFill="1" applyBorder="1" applyAlignment="1">
      <alignment horizontal="center" vertical="center" wrapText="1"/>
    </xf>
    <xf numFmtId="9" fontId="21" fillId="24" borderId="15" xfId="39" applyNumberFormat="1" applyFont="1" applyFill="1" applyBorder="1" applyAlignment="1">
      <alignment horizontal="center" vertical="center"/>
    </xf>
    <xf numFmtId="9" fontId="21" fillId="0" borderId="15" xfId="0" applyNumberFormat="1" applyFont="1" applyFill="1" applyBorder="1" applyAlignment="1">
      <alignment horizontal="center" vertical="center"/>
    </xf>
    <xf numFmtId="9" fontId="19" fillId="0" borderId="15" xfId="0" applyNumberFormat="1" applyFont="1" applyFill="1" applyBorder="1" applyAlignment="1">
      <alignment vertical="center"/>
    </xf>
    <xf numFmtId="9" fontId="21" fillId="0" borderId="14" xfId="0" applyNumberFormat="1" applyFont="1" applyFill="1" applyBorder="1" applyAlignment="1">
      <alignment horizontal="center" vertical="center"/>
    </xf>
    <xf numFmtId="0" fontId="21" fillId="0" borderId="27" xfId="0" applyFont="1" applyFill="1" applyBorder="1" applyAlignment="1">
      <alignment horizontal="center" vertical="center" wrapText="1"/>
    </xf>
    <xf numFmtId="0" fontId="21" fillId="0" borderId="15" xfId="0" applyFont="1" applyFill="1" applyBorder="1" applyAlignment="1">
      <alignment horizontal="center" vertical="center" wrapText="1"/>
    </xf>
    <xf numFmtId="0" fontId="21" fillId="0" borderId="26" xfId="0" applyFont="1" applyFill="1" applyBorder="1" applyAlignment="1">
      <alignment horizontal="center" vertical="center" wrapText="1"/>
    </xf>
    <xf numFmtId="0" fontId="21" fillId="0" borderId="14" xfId="0" applyFont="1" applyFill="1" applyBorder="1" applyAlignment="1">
      <alignment horizontal="center" vertical="center" wrapText="1"/>
    </xf>
    <xf numFmtId="4" fontId="21" fillId="0" borderId="34" xfId="0" applyNumberFormat="1" applyFont="1" applyFill="1" applyBorder="1" applyAlignment="1">
      <alignment horizontal="center" vertical="center"/>
    </xf>
    <xf numFmtId="4" fontId="21" fillId="0" borderId="35" xfId="0" applyNumberFormat="1" applyFont="1" applyFill="1" applyBorder="1" applyAlignment="1">
      <alignment horizontal="center" vertical="center"/>
    </xf>
    <xf numFmtId="0" fontId="19" fillId="0" borderId="10"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28" xfId="0" applyFont="1" applyFill="1" applyBorder="1" applyAlignment="1">
      <alignment horizontal="center" vertical="center"/>
    </xf>
    <xf numFmtId="0" fontId="19" fillId="0" borderId="20" xfId="0" applyFont="1" applyFill="1" applyBorder="1" applyAlignment="1">
      <alignment horizontal="center" vertical="center"/>
    </xf>
    <xf numFmtId="0" fontId="19" fillId="0" borderId="26" xfId="0" applyFont="1" applyFill="1" applyBorder="1" applyAlignment="1">
      <alignment horizontal="center" vertical="center" wrapText="1"/>
    </xf>
    <xf numFmtId="0" fontId="19" fillId="0" borderId="14" xfId="0" applyFont="1" applyFill="1" applyBorder="1" applyAlignment="1">
      <alignment horizontal="center" vertical="center" wrapText="1"/>
    </xf>
  </cellXfs>
  <cellStyles count="44">
    <cellStyle name="20% - Акцент1" xfId="1" builtinId="30" customBuiltin="1"/>
    <cellStyle name="20% - Акцент2" xfId="2" builtinId="34" customBuiltin="1"/>
    <cellStyle name="20% - Акцент3" xfId="3" builtinId="38" customBuiltin="1"/>
    <cellStyle name="20% - Акцент4" xfId="4" builtinId="42" customBuiltin="1"/>
    <cellStyle name="20% - Акцент5" xfId="5" builtinId="46" customBuiltin="1"/>
    <cellStyle name="20% - Акцент6" xfId="6" builtinId="50" customBuiltin="1"/>
    <cellStyle name="40% - Акцент1" xfId="7" builtinId="31" customBuiltin="1"/>
    <cellStyle name="40% - Акцент2" xfId="8" builtinId="35" customBuiltin="1"/>
    <cellStyle name="40% - Акцент3" xfId="9" builtinId="39" customBuiltin="1"/>
    <cellStyle name="40% - Акцент4" xfId="10" builtinId="43" customBuiltin="1"/>
    <cellStyle name="40% - Акцент5" xfId="11" builtinId="47" customBuiltin="1"/>
    <cellStyle name="40% - Акцент6" xfId="12" builtinId="51" customBuiltin="1"/>
    <cellStyle name="60% - Акцент1" xfId="13" builtinId="32" customBuiltin="1"/>
    <cellStyle name="60% - Акцент2" xfId="14" builtinId="36" customBuiltin="1"/>
    <cellStyle name="60% - Акцент3" xfId="15" builtinId="40" customBuiltin="1"/>
    <cellStyle name="60% - Акцент4" xfId="16" builtinId="44" customBuiltin="1"/>
    <cellStyle name="60% - Акцент5" xfId="17" builtinId="48" customBuiltin="1"/>
    <cellStyle name="60% - Акцент6" xfId="18" builtinId="52" customBuiltin="1"/>
    <cellStyle name="Акцент1" xfId="19" builtinId="29" customBuiltin="1"/>
    <cellStyle name="Акцент2" xfId="20" builtinId="33" customBuiltin="1"/>
    <cellStyle name="Акцент3" xfId="21" builtinId="37" customBuiltin="1"/>
    <cellStyle name="Акцент4" xfId="22" builtinId="41" customBuiltin="1"/>
    <cellStyle name="Акцент5" xfId="23" builtinId="45" customBuiltin="1"/>
    <cellStyle name="Акцент6" xfId="24" builtinId="49" customBuiltin="1"/>
    <cellStyle name="Ввод " xfId="25" builtinId="20" customBuiltin="1"/>
    <cellStyle name="Вывод" xfId="26" builtinId="21" customBuiltin="1"/>
    <cellStyle name="Вычисление" xfId="27" builtinId="22" customBuiltin="1"/>
    <cellStyle name="Заголовок 1" xfId="28" builtinId="16" customBuiltin="1"/>
    <cellStyle name="Заголовок 2" xfId="29" builtinId="17" customBuiltin="1"/>
    <cellStyle name="Заголовок 3" xfId="30" builtinId="18" customBuiltin="1"/>
    <cellStyle name="Заголовок 4" xfId="31" builtinId="19" customBuiltin="1"/>
    <cellStyle name="Итог" xfId="32" builtinId="25" customBuiltin="1"/>
    <cellStyle name="Контрольная ячейка" xfId="33" builtinId="23" customBuiltin="1"/>
    <cellStyle name="Название" xfId="34" builtinId="15" customBuiltin="1"/>
    <cellStyle name="Нейтральный" xfId="35" builtinId="28" customBuiltin="1"/>
    <cellStyle name="Обычный" xfId="0" builtinId="0"/>
    <cellStyle name="Плохой" xfId="36" builtinId="27" customBuiltin="1"/>
    <cellStyle name="Пояснение" xfId="37" builtinId="53" customBuiltin="1"/>
    <cellStyle name="Примечание" xfId="38" builtinId="10" customBuiltin="1"/>
    <cellStyle name="Процентный" xfId="39" builtinId="5"/>
    <cellStyle name="Процентный 2" xfId="43"/>
    <cellStyle name="Связанная ячейка" xfId="40" builtinId="24" customBuiltin="1"/>
    <cellStyle name="Текст предупреждения" xfId="41" builtinId="11" customBuiltin="1"/>
    <cellStyle name="Хороший" xfId="42"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81"/>
  <sheetViews>
    <sheetView tabSelected="1" workbookViewId="0"/>
  </sheetViews>
  <sheetFormatPr defaultRowHeight="21" customHeight="1"/>
  <cols>
    <col min="1" max="1" width="4.5703125" style="37" customWidth="1"/>
    <col min="2" max="2" width="45.140625" style="1" customWidth="1"/>
    <col min="3" max="3" width="16.140625" style="37" customWidth="1"/>
    <col min="4" max="5" width="12" style="1" hidden="1" customWidth="1"/>
    <col min="6" max="6" width="8.85546875" style="1" hidden="1" customWidth="1"/>
    <col min="7" max="7" width="11.42578125" style="1" hidden="1" customWidth="1"/>
    <col min="8" max="8" width="10.7109375" style="3" hidden="1" customWidth="1"/>
    <col min="9" max="9" width="9.140625" style="3" hidden="1" customWidth="1"/>
    <col min="10" max="11" width="11.28515625" style="3" hidden="1" customWidth="1"/>
    <col min="12" max="12" width="15.5703125" style="1" hidden="1" customWidth="1"/>
    <col min="13" max="13" width="11" style="1" customWidth="1"/>
    <col min="14" max="14" width="11.28515625" style="1" customWidth="1"/>
    <col min="15" max="15" width="14.42578125" style="1" bestFit="1" customWidth="1"/>
    <col min="16" max="16384" width="9.140625" style="1"/>
  </cols>
  <sheetData>
    <row r="1" spans="1:15" ht="72.75" customHeight="1">
      <c r="A1" s="122" t="s">
        <v>56</v>
      </c>
      <c r="B1" s="122"/>
      <c r="C1" s="122"/>
      <c r="D1" s="122"/>
      <c r="E1" s="122"/>
      <c r="F1" s="122"/>
      <c r="G1" s="122"/>
      <c r="H1" s="122"/>
      <c r="I1" s="108"/>
      <c r="J1" s="108"/>
      <c r="K1" s="108"/>
      <c r="L1" s="107"/>
      <c r="M1" s="107"/>
      <c r="N1" s="107"/>
      <c r="O1" s="107"/>
    </row>
    <row r="2" spans="1:15" ht="21" customHeight="1" thickBot="1">
      <c r="A2" s="2"/>
      <c r="B2" s="108"/>
      <c r="C2" s="108"/>
      <c r="D2" s="108"/>
      <c r="E2" s="108"/>
      <c r="F2" s="108"/>
      <c r="G2" s="107"/>
      <c r="H2" s="108"/>
      <c r="I2" s="108"/>
      <c r="J2" s="108"/>
      <c r="K2" s="108"/>
      <c r="L2" s="107"/>
      <c r="M2" s="107"/>
      <c r="N2" s="107"/>
      <c r="O2" s="107"/>
    </row>
    <row r="3" spans="1:15" ht="16.5" customHeight="1">
      <c r="A3" s="151" t="s">
        <v>57</v>
      </c>
      <c r="B3" s="153" t="s">
        <v>58</v>
      </c>
      <c r="C3" s="155" t="s">
        <v>59</v>
      </c>
      <c r="D3" s="147" t="s">
        <v>45</v>
      </c>
      <c r="E3" s="147" t="s">
        <v>46</v>
      </c>
      <c r="F3" s="145" t="s">
        <v>0</v>
      </c>
      <c r="G3" s="147" t="s">
        <v>51</v>
      </c>
      <c r="H3" s="147" t="s">
        <v>52</v>
      </c>
      <c r="I3" s="145" t="s">
        <v>0</v>
      </c>
      <c r="J3" s="147" t="s">
        <v>54</v>
      </c>
      <c r="K3" s="147" t="s">
        <v>55</v>
      </c>
      <c r="L3" s="145" t="s">
        <v>60</v>
      </c>
      <c r="M3" s="147" t="s">
        <v>61</v>
      </c>
      <c r="N3" s="147" t="s">
        <v>62</v>
      </c>
      <c r="O3" s="145" t="s">
        <v>63</v>
      </c>
    </row>
    <row r="4" spans="1:15" ht="23.25" customHeight="1" thickBot="1">
      <c r="A4" s="152"/>
      <c r="B4" s="154"/>
      <c r="C4" s="156"/>
      <c r="D4" s="148"/>
      <c r="E4" s="148"/>
      <c r="F4" s="146"/>
      <c r="G4" s="148"/>
      <c r="H4" s="148"/>
      <c r="I4" s="146"/>
      <c r="J4" s="148"/>
      <c r="K4" s="148"/>
      <c r="L4" s="146"/>
      <c r="M4" s="148"/>
      <c r="N4" s="148"/>
      <c r="O4" s="146"/>
    </row>
    <row r="5" spans="1:15" ht="30" customHeight="1">
      <c r="A5" s="4" t="s">
        <v>1</v>
      </c>
      <c r="B5" s="56" t="s">
        <v>64</v>
      </c>
      <c r="C5" s="38" t="s">
        <v>122</v>
      </c>
      <c r="D5" s="14">
        <f>D6+D11+D14+D18+D19+D20</f>
        <v>990701.15500000003</v>
      </c>
      <c r="E5" s="14">
        <f>E6+E11+E14+E18+E19+E20</f>
        <v>1058220.49</v>
      </c>
      <c r="F5" s="15">
        <f>E5/D5</f>
        <v>1.0681530799265091</v>
      </c>
      <c r="G5" s="14">
        <f>G6+G11+G14+G18+G19+G20</f>
        <v>1108525.97</v>
      </c>
      <c r="H5" s="14">
        <f>H6+H11+H14+H18+H19+H20</f>
        <v>772869.65</v>
      </c>
      <c r="I5" s="15">
        <f>H5/G5</f>
        <v>0.69720482056004518</v>
      </c>
      <c r="J5" s="14">
        <f>D5+G5</f>
        <v>2099227.125</v>
      </c>
      <c r="K5" s="14">
        <f>E5+H5</f>
        <v>1831090.1400000001</v>
      </c>
      <c r="L5" s="15">
        <f>K5/J5</f>
        <v>0.87226871175266474</v>
      </c>
      <c r="M5" s="126">
        <v>2307227.2850000001</v>
      </c>
      <c r="N5" s="126">
        <v>2236887.3040000005</v>
      </c>
      <c r="O5" s="133">
        <f>N5/M5</f>
        <v>0.96951319817631243</v>
      </c>
    </row>
    <row r="6" spans="1:15" s="7" customFormat="1" ht="17.25" customHeight="1">
      <c r="A6" s="6" t="s">
        <v>3</v>
      </c>
      <c r="B6" s="57" t="s">
        <v>65</v>
      </c>
      <c r="C6" s="58" t="s">
        <v>122</v>
      </c>
      <c r="D6" s="14">
        <f>D7+D8+D9+D10</f>
        <v>273541.685</v>
      </c>
      <c r="E6" s="14">
        <f>SUM(E7:E9)+E10</f>
        <v>322688.46999999997</v>
      </c>
      <c r="F6" s="15">
        <f t="shared" ref="F6:F60" si="0">E6/D6</f>
        <v>1.1796683565797292</v>
      </c>
      <c r="G6" s="14">
        <f>G7+G8+G9+G10</f>
        <v>301242.63999999996</v>
      </c>
      <c r="H6" s="14">
        <f>SUM(H7:H9)+H10</f>
        <v>242852.72999999998</v>
      </c>
      <c r="I6" s="15">
        <f t="shared" ref="I6" si="1">H6/G6</f>
        <v>0.80616983704564538</v>
      </c>
      <c r="J6" s="14">
        <f t="shared" ref="J6:K21" si="2">D6+G6</f>
        <v>574784.32499999995</v>
      </c>
      <c r="K6" s="14">
        <f t="shared" si="2"/>
        <v>565541.19999999995</v>
      </c>
      <c r="L6" s="15">
        <f t="shared" ref="L6" si="3">K6/J6</f>
        <v>0.98391896821472991</v>
      </c>
      <c r="M6" s="126">
        <v>573334.32499999995</v>
      </c>
      <c r="N6" s="126">
        <v>739629.45000000007</v>
      </c>
      <c r="O6" s="133">
        <f t="shared" ref="O6" si="4">N6/M6</f>
        <v>1.2900491349440837</v>
      </c>
    </row>
    <row r="7" spans="1:15" ht="17.25" customHeight="1">
      <c r="A7" s="8" t="s">
        <v>4</v>
      </c>
      <c r="B7" s="59" t="s">
        <v>66</v>
      </c>
      <c r="C7" s="39" t="s">
        <v>122</v>
      </c>
      <c r="D7" s="21">
        <f>37810.61/2</f>
        <v>18905.305</v>
      </c>
      <c r="E7" s="21">
        <v>20933.8</v>
      </c>
      <c r="F7" s="24">
        <f>E7/D7</f>
        <v>1.1072976606301776</v>
      </c>
      <c r="G7" s="21">
        <f>32831.07/2</f>
        <v>16415.535</v>
      </c>
      <c r="H7" s="21">
        <v>13592.350000000002</v>
      </c>
      <c r="I7" s="24">
        <f>H7/G7</f>
        <v>0.82801748465706426</v>
      </c>
      <c r="J7" s="21">
        <f t="shared" si="2"/>
        <v>35320.839999999997</v>
      </c>
      <c r="K7" s="21">
        <f t="shared" si="2"/>
        <v>34526.15</v>
      </c>
      <c r="L7" s="24">
        <f>K7/J7</f>
        <v>0.9775008182138365</v>
      </c>
      <c r="M7" s="127">
        <v>35320.839999999997</v>
      </c>
      <c r="N7" s="127">
        <v>41431.379999999997</v>
      </c>
      <c r="O7" s="134">
        <f>N7/M7</f>
        <v>1.1730009818566036</v>
      </c>
    </row>
    <row r="8" spans="1:15" ht="17.25" customHeight="1">
      <c r="A8" s="8" t="s">
        <v>5</v>
      </c>
      <c r="B8" s="59" t="s">
        <v>67</v>
      </c>
      <c r="C8" s="39" t="s">
        <v>122</v>
      </c>
      <c r="D8" s="21">
        <f>90894.55/2</f>
        <v>45447.275000000001</v>
      </c>
      <c r="E8" s="21">
        <v>49542.71</v>
      </c>
      <c r="F8" s="24">
        <f t="shared" si="0"/>
        <v>1.0901139837316978</v>
      </c>
      <c r="G8" s="21">
        <f>101593.8/2</f>
        <v>50796.9</v>
      </c>
      <c r="H8" s="21">
        <v>33386.469999999994</v>
      </c>
      <c r="I8" s="24">
        <f t="shared" ref="I8:I13" si="5">H8/G8</f>
        <v>0.65725408440278821</v>
      </c>
      <c r="J8" s="21">
        <f t="shared" si="2"/>
        <v>96244.175000000003</v>
      </c>
      <c r="K8" s="21">
        <f t="shared" si="2"/>
        <v>82929.179999999993</v>
      </c>
      <c r="L8" s="24">
        <f t="shared" ref="L8:L13" si="6">K8/J8</f>
        <v>0.86165401698336541</v>
      </c>
      <c r="M8" s="127">
        <v>96244.175000000003</v>
      </c>
      <c r="N8" s="127">
        <v>99515.02</v>
      </c>
      <c r="O8" s="134">
        <f t="shared" ref="O8:O13" si="7">N8/M8</f>
        <v>1.0339848619409955</v>
      </c>
    </row>
    <row r="9" spans="1:15" ht="17.25" customHeight="1">
      <c r="A9" s="8" t="s">
        <v>6</v>
      </c>
      <c r="B9" s="59" t="s">
        <v>68</v>
      </c>
      <c r="C9" s="39" t="s">
        <v>122</v>
      </c>
      <c r="D9" s="21">
        <f>407014.68/2</f>
        <v>203507.34</v>
      </c>
      <c r="E9" s="21">
        <v>243135.73</v>
      </c>
      <c r="F9" s="24">
        <f t="shared" si="0"/>
        <v>1.1947270796227794</v>
      </c>
      <c r="G9" s="21">
        <f>456242.34/2</f>
        <v>228121.17</v>
      </c>
      <c r="H9" s="21">
        <v>194248.97</v>
      </c>
      <c r="I9" s="24">
        <f t="shared" si="5"/>
        <v>0.85151663039427683</v>
      </c>
      <c r="J9" s="21">
        <f t="shared" si="2"/>
        <v>431628.51</v>
      </c>
      <c r="K9" s="21">
        <f t="shared" si="2"/>
        <v>437384.7</v>
      </c>
      <c r="L9" s="24">
        <f t="shared" si="6"/>
        <v>1.0133359819072192</v>
      </c>
      <c r="M9" s="127">
        <v>430178.51</v>
      </c>
      <c r="N9" s="127">
        <v>583038</v>
      </c>
      <c r="O9" s="134">
        <f t="shared" si="7"/>
        <v>1.3553396705009741</v>
      </c>
    </row>
    <row r="10" spans="1:15" ht="17.25" customHeight="1">
      <c r="A10" s="9" t="s">
        <v>7</v>
      </c>
      <c r="B10" s="59" t="s">
        <v>69</v>
      </c>
      <c r="C10" s="39" t="s">
        <v>122</v>
      </c>
      <c r="D10" s="21">
        <f>11363.53/2</f>
        <v>5681.7650000000003</v>
      </c>
      <c r="E10" s="21">
        <v>9076.23</v>
      </c>
      <c r="F10" s="24">
        <f t="shared" si="0"/>
        <v>1.597431431958203</v>
      </c>
      <c r="G10" s="21">
        <f>11818.07/2</f>
        <v>5909.0349999999999</v>
      </c>
      <c r="H10" s="21">
        <v>1624.9400000000005</v>
      </c>
      <c r="I10" s="24">
        <f t="shared" si="5"/>
        <v>0.27499244800546968</v>
      </c>
      <c r="J10" s="21">
        <f t="shared" si="2"/>
        <v>11590.8</v>
      </c>
      <c r="K10" s="21">
        <f t="shared" si="2"/>
        <v>10701.17</v>
      </c>
      <c r="L10" s="24">
        <f t="shared" si="6"/>
        <v>0.92324688546088285</v>
      </c>
      <c r="M10" s="127">
        <v>11590.8</v>
      </c>
      <c r="N10" s="127">
        <v>15645.05</v>
      </c>
      <c r="O10" s="134">
        <f t="shared" si="7"/>
        <v>1.3497817234358285</v>
      </c>
    </row>
    <row r="11" spans="1:15" s="7" customFormat="1" ht="17.25" customHeight="1">
      <c r="A11" s="10" t="s">
        <v>8</v>
      </c>
      <c r="B11" s="60" t="s">
        <v>70</v>
      </c>
      <c r="C11" s="58" t="s">
        <v>122</v>
      </c>
      <c r="D11" s="14">
        <f>D12+D13</f>
        <v>380577.18</v>
      </c>
      <c r="E11" s="14">
        <f>E12+E13</f>
        <v>371601.82999999996</v>
      </c>
      <c r="F11" s="15">
        <f t="shared" si="0"/>
        <v>0.97641647878099247</v>
      </c>
      <c r="G11" s="14">
        <f>G12+G13</f>
        <v>450171.67499999999</v>
      </c>
      <c r="H11" s="14">
        <v>282399.44</v>
      </c>
      <c r="I11" s="15">
        <f t="shared" si="5"/>
        <v>0.62731499044225736</v>
      </c>
      <c r="J11" s="14">
        <f t="shared" si="2"/>
        <v>830748.85499999998</v>
      </c>
      <c r="K11" s="14">
        <f t="shared" si="2"/>
        <v>654001.27</v>
      </c>
      <c r="L11" s="15">
        <f t="shared" si="6"/>
        <v>0.78724305915534487</v>
      </c>
      <c r="M11" s="126">
        <v>830748.85499999998</v>
      </c>
      <c r="N11" s="126">
        <v>784801.52</v>
      </c>
      <c r="O11" s="133">
        <f t="shared" si="7"/>
        <v>0.94469166617148093</v>
      </c>
    </row>
    <row r="12" spans="1:15" ht="17.25" hidden="1" customHeight="1">
      <c r="A12" s="8" t="s">
        <v>9</v>
      </c>
      <c r="B12" s="61" t="s">
        <v>71</v>
      </c>
      <c r="C12" s="45" t="s">
        <v>2</v>
      </c>
      <c r="D12" s="18">
        <f>687000.97/2</f>
        <v>343500.48499999999</v>
      </c>
      <c r="E12" s="18">
        <v>334945.23</v>
      </c>
      <c r="F12" s="19">
        <f t="shared" si="0"/>
        <v>0.97509390707264942</v>
      </c>
      <c r="G12" s="18">
        <f>808497.98/2</f>
        <v>404248.99</v>
      </c>
      <c r="H12" s="18">
        <v>254935.02000000002</v>
      </c>
      <c r="I12" s="19">
        <f t="shared" si="5"/>
        <v>0.63063860716139331</v>
      </c>
      <c r="J12" s="18">
        <f t="shared" si="2"/>
        <v>747749.47499999998</v>
      </c>
      <c r="K12" s="18">
        <f t="shared" si="2"/>
        <v>589880.25</v>
      </c>
      <c r="L12" s="19">
        <f t="shared" si="6"/>
        <v>0.78887417473613075</v>
      </c>
      <c r="M12" s="128">
        <v>747749.47499999998</v>
      </c>
      <c r="N12" s="128">
        <v>707856.3</v>
      </c>
      <c r="O12" s="135">
        <f t="shared" si="7"/>
        <v>0.94664900968335697</v>
      </c>
    </row>
    <row r="13" spans="1:15" ht="17.25" hidden="1" customHeight="1">
      <c r="A13" s="9" t="s">
        <v>10</v>
      </c>
      <c r="B13" s="62" t="s">
        <v>72</v>
      </c>
      <c r="C13" s="45" t="s">
        <v>2</v>
      </c>
      <c r="D13" s="18">
        <f>74153.39/2</f>
        <v>37076.695</v>
      </c>
      <c r="E13" s="18">
        <v>36656.6</v>
      </c>
      <c r="F13" s="19">
        <f t="shared" si="0"/>
        <v>0.98866956723084398</v>
      </c>
      <c r="G13" s="18">
        <f>91845.37/2</f>
        <v>45922.684999999998</v>
      </c>
      <c r="H13" s="18">
        <v>27464.41</v>
      </c>
      <c r="I13" s="19">
        <f t="shared" si="5"/>
        <v>0.59805758308774848</v>
      </c>
      <c r="J13" s="18">
        <f t="shared" si="2"/>
        <v>82999.38</v>
      </c>
      <c r="K13" s="18">
        <f>E13+H13</f>
        <v>64121.009999999995</v>
      </c>
      <c r="L13" s="19">
        <f t="shared" si="6"/>
        <v>0.77254805999755649</v>
      </c>
      <c r="M13" s="128">
        <v>82999.38</v>
      </c>
      <c r="N13" s="128">
        <v>76945.22</v>
      </c>
      <c r="O13" s="135">
        <f t="shared" si="7"/>
        <v>0.92705776838333009</v>
      </c>
    </row>
    <row r="14" spans="1:15" s="7" customFormat="1" ht="17.25" customHeight="1">
      <c r="A14" s="11" t="s">
        <v>11</v>
      </c>
      <c r="B14" s="57" t="s">
        <v>73</v>
      </c>
      <c r="C14" s="58" t="s">
        <v>122</v>
      </c>
      <c r="D14" s="14">
        <f>D15+D16+D17</f>
        <v>223991.78</v>
      </c>
      <c r="E14" s="14">
        <f>E15+E16+E17</f>
        <v>198505.97999999998</v>
      </c>
      <c r="F14" s="15">
        <f>E14/D14</f>
        <v>0.88621993182071224</v>
      </c>
      <c r="G14" s="14">
        <f>G15+G16+G17</f>
        <v>273883.28000000003</v>
      </c>
      <c r="H14" s="14">
        <v>138932.99</v>
      </c>
      <c r="I14" s="15">
        <f>H14/G14</f>
        <v>0.50727079798372499</v>
      </c>
      <c r="J14" s="14">
        <f t="shared" si="2"/>
        <v>497875.06000000006</v>
      </c>
      <c r="K14" s="14">
        <f t="shared" si="2"/>
        <v>337438.97</v>
      </c>
      <c r="L14" s="15">
        <f>K14/J14</f>
        <v>0.67775833157820742</v>
      </c>
      <c r="M14" s="126">
        <v>590793.35</v>
      </c>
      <c r="N14" s="126">
        <v>297176.19400000002</v>
      </c>
      <c r="O14" s="133">
        <f>N14/M14</f>
        <v>0.5030120836668186</v>
      </c>
    </row>
    <row r="15" spans="1:15" s="7" customFormat="1" ht="17.25" customHeight="1">
      <c r="A15" s="12" t="s">
        <v>12</v>
      </c>
      <c r="B15" s="79" t="s">
        <v>74</v>
      </c>
      <c r="C15" s="39" t="s">
        <v>122</v>
      </c>
      <c r="D15" s="21">
        <f>163413-(D31+D32+D41+D42+758)</f>
        <v>151273.66</v>
      </c>
      <c r="E15" s="21">
        <f>144812.8-(E31+E32+E41+E42+709)</f>
        <v>136335.19999999998</v>
      </c>
      <c r="F15" s="24">
        <f>E15/D15</f>
        <v>0.90124876994448322</v>
      </c>
      <c r="G15" s="91">
        <f>163413-(G31+G32+G41+G42+758)</f>
        <v>152133.78</v>
      </c>
      <c r="H15" s="91">
        <v>138932.99</v>
      </c>
      <c r="I15" s="24">
        <f>H15/G15</f>
        <v>0.91322906720650732</v>
      </c>
      <c r="J15" s="21">
        <f t="shared" si="2"/>
        <v>303407.44</v>
      </c>
      <c r="K15" s="21">
        <f t="shared" si="2"/>
        <v>275268.18999999994</v>
      </c>
      <c r="L15" s="24">
        <f>K15/J15</f>
        <v>0.90725589985532307</v>
      </c>
      <c r="M15" s="127">
        <v>396325.73</v>
      </c>
      <c r="N15" s="127">
        <v>177008.80400000003</v>
      </c>
      <c r="O15" s="134">
        <f>N15/M15</f>
        <v>0.44662455803714796</v>
      </c>
    </row>
    <row r="16" spans="1:15" ht="17.25" customHeight="1">
      <c r="A16" s="12" t="s">
        <v>13</v>
      </c>
      <c r="B16" s="59" t="s">
        <v>75</v>
      </c>
      <c r="C16" s="39" t="s">
        <v>122</v>
      </c>
      <c r="D16" s="21">
        <f>(124341.56)/2</f>
        <v>62170.78</v>
      </c>
      <c r="E16" s="21">
        <f>62170.78</f>
        <v>62170.78</v>
      </c>
      <c r="F16" s="24">
        <f>E16/D16</f>
        <v>1</v>
      </c>
      <c r="G16" s="21">
        <f>115993.21/2</f>
        <v>57996.605000000003</v>
      </c>
      <c r="H16" s="21"/>
      <c r="I16" s="24">
        <f>H16/G16</f>
        <v>0</v>
      </c>
      <c r="J16" s="21">
        <f t="shared" si="2"/>
        <v>120167.38500000001</v>
      </c>
      <c r="K16" s="21">
        <f t="shared" si="2"/>
        <v>62170.78</v>
      </c>
      <c r="L16" s="24">
        <f>K16/J16</f>
        <v>0.51736816940803021</v>
      </c>
      <c r="M16" s="127">
        <v>120167.38500000001</v>
      </c>
      <c r="N16" s="127">
        <v>120167.39</v>
      </c>
      <c r="O16" s="134">
        <f>N16/M16</f>
        <v>1.0000000416086277</v>
      </c>
    </row>
    <row r="17" spans="1:15" ht="17.25" customHeight="1">
      <c r="A17" s="12" t="s">
        <v>50</v>
      </c>
      <c r="B17" s="59" t="s">
        <v>76</v>
      </c>
      <c r="C17" s="39" t="s">
        <v>122</v>
      </c>
      <c r="D17" s="21">
        <f>21094.68/2</f>
        <v>10547.34</v>
      </c>
      <c r="E17" s="21">
        <v>0</v>
      </c>
      <c r="F17" s="24">
        <f>E17/D17</f>
        <v>0</v>
      </c>
      <c r="G17" s="21">
        <f>127505.79/2</f>
        <v>63752.894999999997</v>
      </c>
      <c r="H17" s="21">
        <v>0</v>
      </c>
      <c r="I17" s="24">
        <f>H17/G17</f>
        <v>0</v>
      </c>
      <c r="J17" s="21">
        <f t="shared" si="2"/>
        <v>74300.235000000001</v>
      </c>
      <c r="K17" s="21">
        <f t="shared" si="2"/>
        <v>0</v>
      </c>
      <c r="L17" s="24">
        <f>K17/J17</f>
        <v>0</v>
      </c>
      <c r="M17" s="127">
        <v>74300.235000000001</v>
      </c>
      <c r="N17" s="127">
        <v>74300.240000000005</v>
      </c>
      <c r="O17" s="134">
        <f>N17/M17</f>
        <v>1.0000000672945382</v>
      </c>
    </row>
    <row r="18" spans="1:15" s="7" customFormat="1" ht="44.25" customHeight="1">
      <c r="A18" s="6" t="s">
        <v>14</v>
      </c>
      <c r="B18" s="60" t="s">
        <v>77</v>
      </c>
      <c r="C18" s="82" t="s">
        <v>122</v>
      </c>
      <c r="D18" s="14">
        <f>93561.12/2</f>
        <v>46780.56</v>
      </c>
      <c r="E18" s="14">
        <v>105197.89</v>
      </c>
      <c r="F18" s="15">
        <f t="shared" si="0"/>
        <v>2.2487522594855642</v>
      </c>
      <c r="G18" s="14">
        <f>56071.84/2</f>
        <v>28035.919999999998</v>
      </c>
      <c r="H18" s="14">
        <v>69126.009999999995</v>
      </c>
      <c r="I18" s="15">
        <f t="shared" ref="I18:I28" si="8">H18/G18</f>
        <v>2.4656230293138233</v>
      </c>
      <c r="J18" s="14">
        <f t="shared" si="2"/>
        <v>74816.479999999996</v>
      </c>
      <c r="K18" s="14">
        <f t="shared" si="2"/>
        <v>174323.9</v>
      </c>
      <c r="L18" s="15">
        <f t="shared" ref="L18:L28" si="9">K18/J18</f>
        <v>2.3300200704443728</v>
      </c>
      <c r="M18" s="126">
        <v>74816.479999999996</v>
      </c>
      <c r="N18" s="126">
        <v>186527</v>
      </c>
      <c r="O18" s="133">
        <f t="shared" ref="O18:O51" si="10">N18/M18</f>
        <v>2.4931271826741916</v>
      </c>
    </row>
    <row r="19" spans="1:15" s="7" customFormat="1" ht="41.25" customHeight="1">
      <c r="A19" s="48" t="s">
        <v>15</v>
      </c>
      <c r="B19" s="60" t="s">
        <v>78</v>
      </c>
      <c r="C19" s="58" t="s">
        <v>122</v>
      </c>
      <c r="D19" s="14">
        <f>23852.78/2</f>
        <v>11926.39</v>
      </c>
      <c r="E19" s="14">
        <v>12419.75</v>
      </c>
      <c r="F19" s="15">
        <f t="shared" si="0"/>
        <v>1.0413670859329605</v>
      </c>
      <c r="G19" s="14">
        <f>31432.35/2</f>
        <v>15716.174999999999</v>
      </c>
      <c r="H19" s="14">
        <v>8141.8</v>
      </c>
      <c r="I19" s="15">
        <f t="shared" si="8"/>
        <v>0.51805226144402183</v>
      </c>
      <c r="J19" s="14">
        <f t="shared" si="2"/>
        <v>27642.564999999999</v>
      </c>
      <c r="K19" s="14">
        <f t="shared" si="2"/>
        <v>20561.55</v>
      </c>
      <c r="L19" s="15">
        <f t="shared" si="9"/>
        <v>0.7438365433887919</v>
      </c>
      <c r="M19" s="126">
        <v>27642.564999999999</v>
      </c>
      <c r="N19" s="126">
        <v>24677.69</v>
      </c>
      <c r="O19" s="133">
        <f t="shared" si="10"/>
        <v>0.89274240650243564</v>
      </c>
    </row>
    <row r="20" spans="1:15" s="7" customFormat="1" ht="15.75" customHeight="1" thickBot="1">
      <c r="A20" s="16" t="s">
        <v>16</v>
      </c>
      <c r="B20" s="57" t="s">
        <v>79</v>
      </c>
      <c r="C20" s="58" t="s">
        <v>122</v>
      </c>
      <c r="D20" s="14">
        <f>(229562.68-121795.56)/2</f>
        <v>53883.56</v>
      </c>
      <c r="E20" s="14">
        <f>111748.32-63941.75</f>
        <v>47806.570000000007</v>
      </c>
      <c r="F20" s="15">
        <f t="shared" si="0"/>
        <v>0.88721996096768674</v>
      </c>
      <c r="G20" s="14">
        <f>(190220.74-111268.18)/2</f>
        <v>39476.28</v>
      </c>
      <c r="H20" s="14">
        <f>76080.36-44663.68</f>
        <v>31416.68</v>
      </c>
      <c r="I20" s="15">
        <f t="shared" si="8"/>
        <v>0.79583689243262035</v>
      </c>
      <c r="J20" s="14">
        <f t="shared" si="2"/>
        <v>93359.84</v>
      </c>
      <c r="K20" s="14">
        <f t="shared" si="2"/>
        <v>79223.25</v>
      </c>
      <c r="L20" s="15">
        <f t="shared" si="9"/>
        <v>0.84857953912517414</v>
      </c>
      <c r="M20" s="126">
        <v>209891.71</v>
      </c>
      <c r="N20" s="126">
        <v>204075.45</v>
      </c>
      <c r="O20" s="133">
        <f t="shared" si="10"/>
        <v>0.97228923429134018</v>
      </c>
    </row>
    <row r="21" spans="1:15" ht="15.75" customHeight="1" thickBot="1">
      <c r="A21" s="17" t="s">
        <v>17</v>
      </c>
      <c r="B21" s="63" t="s">
        <v>80</v>
      </c>
      <c r="C21" s="38" t="s">
        <v>122</v>
      </c>
      <c r="D21" s="14">
        <f>D22+D37</f>
        <v>242554.11000000002</v>
      </c>
      <c r="E21" s="14">
        <f>E22+E37</f>
        <v>242962.66</v>
      </c>
      <c r="F21" s="15">
        <f t="shared" si="0"/>
        <v>1.0016843664285877</v>
      </c>
      <c r="G21" s="14">
        <f>G22+G37</f>
        <v>249279.875</v>
      </c>
      <c r="H21" s="14">
        <v>174445.53</v>
      </c>
      <c r="I21" s="15">
        <f t="shared" si="8"/>
        <v>0.69979788781585361</v>
      </c>
      <c r="J21" s="14">
        <f t="shared" si="2"/>
        <v>491833.98499999999</v>
      </c>
      <c r="K21" s="14">
        <f t="shared" si="2"/>
        <v>417408.19</v>
      </c>
      <c r="L21" s="15">
        <f t="shared" si="9"/>
        <v>0.84867699819482789</v>
      </c>
      <c r="M21" s="126">
        <v>491833.98499999999</v>
      </c>
      <c r="N21" s="126">
        <v>335754.91700000002</v>
      </c>
      <c r="O21" s="133">
        <f t="shared" si="10"/>
        <v>0.6826590419529468</v>
      </c>
    </row>
    <row r="22" spans="1:15" s="7" customFormat="1" ht="17.25" customHeight="1">
      <c r="A22" s="49" t="s">
        <v>18</v>
      </c>
      <c r="B22" s="60" t="s">
        <v>81</v>
      </c>
      <c r="C22" s="58" t="s">
        <v>122</v>
      </c>
      <c r="D22" s="14">
        <f>D23+SUM(D26:D36)</f>
        <v>197651.43000000002</v>
      </c>
      <c r="E22" s="14">
        <f>E23+SUM(E26:E36)</f>
        <v>193544.59</v>
      </c>
      <c r="F22" s="15">
        <f t="shared" si="0"/>
        <v>0.97922180477014498</v>
      </c>
      <c r="G22" s="14">
        <f>G23+SUM(G26:G36)</f>
        <v>186762.67500000002</v>
      </c>
      <c r="H22" s="14">
        <v>141369.91</v>
      </c>
      <c r="I22" s="15">
        <f t="shared" si="8"/>
        <v>0.75694948147428276</v>
      </c>
      <c r="J22" s="14">
        <f t="shared" ref="J22:K57" si="11">D22+G22</f>
        <v>384414.10500000004</v>
      </c>
      <c r="K22" s="14">
        <f t="shared" si="11"/>
        <v>334914.5</v>
      </c>
      <c r="L22" s="15">
        <f t="shared" si="9"/>
        <v>0.87123364008716586</v>
      </c>
      <c r="M22" s="126">
        <v>267882.23</v>
      </c>
      <c r="N22" s="126">
        <v>216946.11499999999</v>
      </c>
      <c r="O22" s="133">
        <f t="shared" si="10"/>
        <v>0.80985631260423663</v>
      </c>
    </row>
    <row r="23" spans="1:15" s="7" customFormat="1" ht="21.75" customHeight="1">
      <c r="A23" s="50" t="s">
        <v>19</v>
      </c>
      <c r="B23" s="62" t="s">
        <v>82</v>
      </c>
      <c r="C23" s="45" t="s">
        <v>122</v>
      </c>
      <c r="D23" s="21">
        <f>D24+D25</f>
        <v>26079.53</v>
      </c>
      <c r="E23" s="18">
        <f>E24+E25</f>
        <v>31480.170000000002</v>
      </c>
      <c r="F23" s="19">
        <f t="shared" si="0"/>
        <v>1.2070834865505629</v>
      </c>
      <c r="G23" s="21">
        <f>G24+G25</f>
        <v>32597.195</v>
      </c>
      <c r="H23" s="18">
        <f>H24+H25</f>
        <v>23469.760000000002</v>
      </c>
      <c r="I23" s="19">
        <f t="shared" si="8"/>
        <v>0.71999323868204002</v>
      </c>
      <c r="J23" s="21">
        <f t="shared" si="11"/>
        <v>58676.724999999999</v>
      </c>
      <c r="K23" s="21">
        <f t="shared" si="11"/>
        <v>54949.930000000008</v>
      </c>
      <c r="L23" s="19">
        <f t="shared" si="9"/>
        <v>0.9364859746347467</v>
      </c>
      <c r="M23" s="127">
        <v>58176.724999999999</v>
      </c>
      <c r="N23" s="127">
        <v>65919.28</v>
      </c>
      <c r="O23" s="135">
        <f t="shared" si="10"/>
        <v>1.1330868143574599</v>
      </c>
    </row>
    <row r="24" spans="1:15" s="20" customFormat="1" ht="17.25" hidden="1" customHeight="1">
      <c r="A24" s="51"/>
      <c r="B24" s="64" t="s">
        <v>83</v>
      </c>
      <c r="C24" s="46" t="s">
        <v>122</v>
      </c>
      <c r="D24" s="21">
        <f>46878.21/2</f>
        <v>23439.105</v>
      </c>
      <c r="E24" s="18">
        <v>28319.83</v>
      </c>
      <c r="F24" s="19">
        <f t="shared" si="0"/>
        <v>1.2082300070757823</v>
      </c>
      <c r="G24" s="21">
        <f>58543.81/2</f>
        <v>29271.904999999999</v>
      </c>
      <c r="H24" s="18">
        <f>21041.86+83.11</f>
        <v>21124.97</v>
      </c>
      <c r="I24" s="19">
        <f t="shared" si="8"/>
        <v>0.72168073789526177</v>
      </c>
      <c r="J24" s="21">
        <f t="shared" si="11"/>
        <v>52711.009999999995</v>
      </c>
      <c r="K24" s="21">
        <f t="shared" si="11"/>
        <v>49444.800000000003</v>
      </c>
      <c r="L24" s="19">
        <f t="shared" si="9"/>
        <v>0.93803552616426833</v>
      </c>
      <c r="M24" s="127">
        <v>52711.009999999995</v>
      </c>
      <c r="N24" s="127">
        <v>59313.54</v>
      </c>
      <c r="O24" s="135">
        <f t="shared" si="10"/>
        <v>1.1252590303240255</v>
      </c>
    </row>
    <row r="25" spans="1:15" s="20" customFormat="1" ht="17.25" hidden="1" customHeight="1">
      <c r="A25" s="51"/>
      <c r="B25" s="65" t="s">
        <v>72</v>
      </c>
      <c r="C25" s="46" t="s">
        <v>122</v>
      </c>
      <c r="D25" s="21">
        <f>5280.85/2</f>
        <v>2640.4250000000002</v>
      </c>
      <c r="E25" s="18">
        <f>3160.34</f>
        <v>3160.34</v>
      </c>
      <c r="F25" s="19">
        <f t="shared" si="0"/>
        <v>1.1969058011494362</v>
      </c>
      <c r="G25" s="21">
        <f>6650.58/2</f>
        <v>3325.29</v>
      </c>
      <c r="H25" s="18">
        <v>2344.79</v>
      </c>
      <c r="I25" s="19">
        <f t="shared" si="8"/>
        <v>0.70513849919856608</v>
      </c>
      <c r="J25" s="21">
        <f t="shared" si="11"/>
        <v>5965.7150000000001</v>
      </c>
      <c r="K25" s="21">
        <f t="shared" si="11"/>
        <v>5505.13</v>
      </c>
      <c r="L25" s="19">
        <f t="shared" si="9"/>
        <v>0.92279466920561914</v>
      </c>
      <c r="M25" s="127">
        <v>5965.7150000000001</v>
      </c>
      <c r="N25" s="127">
        <v>6605.74</v>
      </c>
      <c r="O25" s="135">
        <f t="shared" si="10"/>
        <v>1.1072838712543256</v>
      </c>
    </row>
    <row r="26" spans="1:15" ht="19.5" customHeight="1">
      <c r="A26" s="52" t="s">
        <v>20</v>
      </c>
      <c r="B26" s="59" t="s">
        <v>84</v>
      </c>
      <c r="C26" s="39" t="s">
        <v>122</v>
      </c>
      <c r="D26" s="21">
        <f>(48960.31+121795.56)/2</f>
        <v>85377.934999999998</v>
      </c>
      <c r="E26" s="21">
        <f>24876.78+63941.75</f>
        <v>88818.53</v>
      </c>
      <c r="F26" s="24">
        <f t="shared" si="0"/>
        <v>1.0402984096535013</v>
      </c>
      <c r="G26" s="21">
        <f>(54131.35+111268.18)/2</f>
        <v>82699.764999999999</v>
      </c>
      <c r="H26" s="21">
        <f>24096.71+44663.68</f>
        <v>68760.39</v>
      </c>
      <c r="I26" s="24">
        <f t="shared" si="8"/>
        <v>0.83144601438710253</v>
      </c>
      <c r="J26" s="21">
        <f t="shared" si="11"/>
        <v>168077.7</v>
      </c>
      <c r="K26" s="21">
        <f t="shared" si="11"/>
        <v>157578.91999999998</v>
      </c>
      <c r="L26" s="24">
        <f t="shared" si="9"/>
        <v>0.93753615143472313</v>
      </c>
      <c r="M26" s="127">
        <v>51545.83</v>
      </c>
      <c r="N26" s="127">
        <v>48973.49</v>
      </c>
      <c r="O26" s="134">
        <f t="shared" si="10"/>
        <v>0.95009606014686343</v>
      </c>
    </row>
    <row r="27" spans="1:15" ht="19.5" customHeight="1">
      <c r="A27" s="53" t="s">
        <v>21</v>
      </c>
      <c r="B27" s="66" t="s">
        <v>85</v>
      </c>
      <c r="C27" s="39" t="s">
        <v>122</v>
      </c>
      <c r="D27" s="21">
        <f>274.41/2</f>
        <v>137.20500000000001</v>
      </c>
      <c r="E27" s="22">
        <v>69.03</v>
      </c>
      <c r="F27" s="23">
        <f t="shared" si="0"/>
        <v>0.50311577566415211</v>
      </c>
      <c r="G27" s="21">
        <f>349.36/2</f>
        <v>174.68</v>
      </c>
      <c r="H27" s="22">
        <v>55.16</v>
      </c>
      <c r="I27" s="23">
        <f t="shared" si="8"/>
        <v>0.31577742157087241</v>
      </c>
      <c r="J27" s="21">
        <f t="shared" si="11"/>
        <v>311.88499999999999</v>
      </c>
      <c r="K27" s="21">
        <f t="shared" si="11"/>
        <v>124.19</v>
      </c>
      <c r="L27" s="23">
        <f t="shared" si="9"/>
        <v>0.39819164114978278</v>
      </c>
      <c r="M27" s="127">
        <v>311.88499999999999</v>
      </c>
      <c r="N27" s="127">
        <v>124.19</v>
      </c>
      <c r="O27" s="136">
        <f t="shared" si="10"/>
        <v>0.39819164114978278</v>
      </c>
    </row>
    <row r="28" spans="1:15" s="20" customFormat="1" ht="19.5" customHeight="1">
      <c r="A28" s="53" t="s">
        <v>22</v>
      </c>
      <c r="B28" s="66" t="s">
        <v>94</v>
      </c>
      <c r="C28" s="39" t="s">
        <v>122</v>
      </c>
      <c r="D28" s="21">
        <f>(131772.05+428.42)/2</f>
        <v>66100.235000000001</v>
      </c>
      <c r="E28" s="22">
        <v>55593.65</v>
      </c>
      <c r="F28" s="23">
        <f t="shared" si="0"/>
        <v>0.84105071638550155</v>
      </c>
      <c r="G28" s="21">
        <f>94160.3/2</f>
        <v>47080.15</v>
      </c>
      <c r="H28" s="22">
        <v>43355.200000000004</v>
      </c>
      <c r="I28" s="23">
        <f t="shared" si="8"/>
        <v>0.92088066839209315</v>
      </c>
      <c r="J28" s="21">
        <f t="shared" si="11"/>
        <v>113180.38500000001</v>
      </c>
      <c r="K28" s="21">
        <f t="shared" si="11"/>
        <v>98948.85</v>
      </c>
      <c r="L28" s="23">
        <f t="shared" si="9"/>
        <v>0.87425793789268347</v>
      </c>
      <c r="M28" s="127">
        <v>113180.38499999998</v>
      </c>
      <c r="N28" s="127">
        <v>56016.800000000003</v>
      </c>
      <c r="O28" s="136">
        <f t="shared" si="10"/>
        <v>0.49493381737480407</v>
      </c>
    </row>
    <row r="29" spans="1:15" s="20" customFormat="1" ht="19.5" customHeight="1">
      <c r="A29" s="80"/>
      <c r="B29" s="75" t="s">
        <v>86</v>
      </c>
      <c r="C29" s="40" t="s">
        <v>122</v>
      </c>
      <c r="D29" s="81"/>
      <c r="E29" s="81"/>
      <c r="F29" s="109"/>
      <c r="G29" s="81"/>
      <c r="H29" s="110"/>
      <c r="I29" s="109"/>
      <c r="J29" s="81"/>
      <c r="K29" s="81"/>
      <c r="L29" s="109"/>
      <c r="M29" s="129">
        <v>112754.32999999999</v>
      </c>
      <c r="N29" s="129">
        <v>55593.5</v>
      </c>
      <c r="O29" s="137">
        <f t="shared" si="10"/>
        <v>0.49304980128035886</v>
      </c>
    </row>
    <row r="30" spans="1:15" s="20" customFormat="1" ht="19.5" customHeight="1">
      <c r="A30" s="80"/>
      <c r="B30" s="75" t="s">
        <v>87</v>
      </c>
      <c r="C30" s="40" t="s">
        <v>122</v>
      </c>
      <c r="D30" s="81"/>
      <c r="E30" s="81"/>
      <c r="F30" s="109"/>
      <c r="G30" s="81"/>
      <c r="H30" s="110"/>
      <c r="I30" s="109"/>
      <c r="J30" s="81"/>
      <c r="K30" s="81"/>
      <c r="L30" s="109"/>
      <c r="M30" s="129">
        <v>426.05500000000001</v>
      </c>
      <c r="N30" s="129">
        <v>423.3</v>
      </c>
      <c r="O30" s="137">
        <f t="shared" si="10"/>
        <v>0.99353369870087194</v>
      </c>
    </row>
    <row r="31" spans="1:15" ht="19.5" customHeight="1">
      <c r="A31" s="54" t="s">
        <v>23</v>
      </c>
      <c r="B31" s="59" t="s">
        <v>88</v>
      </c>
      <c r="C31" s="39" t="s">
        <v>122</v>
      </c>
      <c r="D31" s="21">
        <f>20502.61/2</f>
        <v>10251.305</v>
      </c>
      <c r="E31" s="21">
        <v>6221.35</v>
      </c>
      <c r="F31" s="24"/>
      <c r="G31" s="21">
        <f>19235.57/2</f>
        <v>9617.7849999999999</v>
      </c>
      <c r="H31" s="21">
        <v>4255.91</v>
      </c>
      <c r="I31" s="24"/>
      <c r="J31" s="21">
        <f t="shared" si="11"/>
        <v>19869.09</v>
      </c>
      <c r="K31" s="21">
        <f t="shared" si="11"/>
        <v>10477.26</v>
      </c>
      <c r="L31" s="24"/>
      <c r="M31" s="127">
        <v>19869.09</v>
      </c>
      <c r="N31" s="127">
        <v>19869.09</v>
      </c>
      <c r="O31" s="134">
        <f t="shared" si="10"/>
        <v>1</v>
      </c>
    </row>
    <row r="32" spans="1:15" ht="19.5" customHeight="1">
      <c r="A32" s="54" t="s">
        <v>24</v>
      </c>
      <c r="B32" s="59" t="s">
        <v>89</v>
      </c>
      <c r="C32" s="39" t="s">
        <v>122</v>
      </c>
      <c r="D32" s="21">
        <f>1018.96/2</f>
        <v>509.48</v>
      </c>
      <c r="E32" s="21">
        <v>314.55</v>
      </c>
      <c r="F32" s="24"/>
      <c r="G32" s="21">
        <f>691.14/2</f>
        <v>345.57</v>
      </c>
      <c r="H32" s="21">
        <v>209.7</v>
      </c>
      <c r="I32" s="24"/>
      <c r="J32" s="21">
        <f t="shared" si="11"/>
        <v>855.05</v>
      </c>
      <c r="K32" s="21">
        <f t="shared" si="11"/>
        <v>524.25</v>
      </c>
      <c r="L32" s="24"/>
      <c r="M32" s="127">
        <v>855.05</v>
      </c>
      <c r="N32" s="127">
        <v>855.05</v>
      </c>
      <c r="O32" s="134">
        <f t="shared" si="10"/>
        <v>1</v>
      </c>
    </row>
    <row r="33" spans="1:15" ht="19.5" customHeight="1">
      <c r="A33" s="54" t="s">
        <v>25</v>
      </c>
      <c r="B33" s="59" t="s">
        <v>90</v>
      </c>
      <c r="C33" s="39" t="s">
        <v>122</v>
      </c>
      <c r="D33" s="21">
        <f>187/2</f>
        <v>93.5</v>
      </c>
      <c r="E33" s="21">
        <v>96.52</v>
      </c>
      <c r="F33" s="24">
        <f t="shared" si="0"/>
        <v>1.0322994652406416</v>
      </c>
      <c r="G33" s="21">
        <f>236.23/2</f>
        <v>118.11499999999999</v>
      </c>
      <c r="H33" s="21">
        <v>88.070000000000007</v>
      </c>
      <c r="I33" s="24">
        <f t="shared" ref="I33:I40" si="12">H33/G33</f>
        <v>0.74562925961986204</v>
      </c>
      <c r="J33" s="21">
        <f t="shared" si="11"/>
        <v>211.61500000000001</v>
      </c>
      <c r="K33" s="21">
        <f t="shared" si="11"/>
        <v>184.59</v>
      </c>
      <c r="L33" s="24">
        <f t="shared" ref="L33:L40" si="13">K33/J33</f>
        <v>0.87229166174420525</v>
      </c>
      <c r="M33" s="127">
        <v>211.61500000000001</v>
      </c>
      <c r="N33" s="127">
        <v>254.14500000000001</v>
      </c>
      <c r="O33" s="134">
        <f t="shared" si="10"/>
        <v>1.2009781915270656</v>
      </c>
    </row>
    <row r="34" spans="1:15" ht="19.5" customHeight="1">
      <c r="A34" s="54" t="s">
        <v>26</v>
      </c>
      <c r="B34" s="59" t="s">
        <v>91</v>
      </c>
      <c r="C34" s="39" t="s">
        <v>122</v>
      </c>
      <c r="D34" s="21">
        <f>769.49/2</f>
        <v>384.745</v>
      </c>
      <c r="E34" s="21">
        <v>505.64</v>
      </c>
      <c r="F34" s="24">
        <f t="shared" si="0"/>
        <v>1.3142211074867769</v>
      </c>
      <c r="G34" s="21">
        <f>325.09/2</f>
        <v>162.54499999999999</v>
      </c>
      <c r="H34" s="21">
        <v>96.590000000000032</v>
      </c>
      <c r="I34" s="24">
        <f t="shared" si="12"/>
        <v>0.59423544249284843</v>
      </c>
      <c r="J34" s="21">
        <f t="shared" si="11"/>
        <v>547.29</v>
      </c>
      <c r="K34" s="21">
        <f t="shared" si="11"/>
        <v>602.23</v>
      </c>
      <c r="L34" s="24">
        <f t="shared" si="13"/>
        <v>1.1003855360046777</v>
      </c>
      <c r="M34" s="127">
        <v>547.29</v>
      </c>
      <c r="N34" s="127">
        <v>856.2</v>
      </c>
      <c r="O34" s="134">
        <f t="shared" si="10"/>
        <v>1.5644356739571343</v>
      </c>
    </row>
    <row r="35" spans="1:15" ht="19.5" customHeight="1">
      <c r="A35" s="54" t="s">
        <v>27</v>
      </c>
      <c r="B35" s="59" t="s">
        <v>92</v>
      </c>
      <c r="C35" s="39" t="s">
        <v>122</v>
      </c>
      <c r="D35" s="21">
        <f>1636.53/2</f>
        <v>818.26499999999999</v>
      </c>
      <c r="E35" s="21">
        <v>891.01</v>
      </c>
      <c r="F35" s="24">
        <f t="shared" si="0"/>
        <v>1.0889015172346368</v>
      </c>
      <c r="G35" s="21">
        <f>2451.76/2</f>
        <v>1225.8800000000001</v>
      </c>
      <c r="H35" s="21">
        <v>473.21000000000004</v>
      </c>
      <c r="I35" s="24">
        <f t="shared" si="12"/>
        <v>0.38601657584755439</v>
      </c>
      <c r="J35" s="21">
        <f t="shared" si="11"/>
        <v>2044.145</v>
      </c>
      <c r="K35" s="21">
        <f t="shared" si="11"/>
        <v>1364.22</v>
      </c>
      <c r="L35" s="24">
        <f t="shared" si="13"/>
        <v>0.6673792710399703</v>
      </c>
      <c r="M35" s="127">
        <v>2044.145</v>
      </c>
      <c r="N35" s="127">
        <v>1637.07</v>
      </c>
      <c r="O35" s="134">
        <f t="shared" si="10"/>
        <v>0.80085806046048591</v>
      </c>
    </row>
    <row r="36" spans="1:15" ht="19.5" customHeight="1" thickBot="1">
      <c r="A36" s="25" t="s">
        <v>28</v>
      </c>
      <c r="B36" s="62" t="s">
        <v>93</v>
      </c>
      <c r="C36" s="45" t="s">
        <v>122</v>
      </c>
      <c r="D36" s="21">
        <f>(147998.93-132200.47)/2</f>
        <v>7899.2299999999959</v>
      </c>
      <c r="E36" s="28">
        <f>5714.53+3839.61</f>
        <v>9554.14</v>
      </c>
      <c r="F36" s="27">
        <f t="shared" si="0"/>
        <v>1.2095026983642716</v>
      </c>
      <c r="G36" s="21">
        <f>(119642.28-94160.3)/2</f>
        <v>12740.989999999998</v>
      </c>
      <c r="H36" s="28">
        <v>609.06999999999971</v>
      </c>
      <c r="I36" s="27">
        <f t="shared" si="12"/>
        <v>4.7803977555904195E-2</v>
      </c>
      <c r="J36" s="21">
        <f t="shared" si="11"/>
        <v>20640.219999999994</v>
      </c>
      <c r="K36" s="21">
        <f t="shared" si="11"/>
        <v>10163.209999999999</v>
      </c>
      <c r="L36" s="27">
        <f t="shared" si="13"/>
        <v>0.49239833683943302</v>
      </c>
      <c r="M36" s="127">
        <v>21140.214999999997</v>
      </c>
      <c r="N36" s="127">
        <v>22440.799999999999</v>
      </c>
      <c r="O36" s="138">
        <f t="shared" si="10"/>
        <v>1.0615218435574096</v>
      </c>
    </row>
    <row r="37" spans="1:15" s="26" customFormat="1" ht="21.75" customHeight="1">
      <c r="A37" s="4">
        <v>8</v>
      </c>
      <c r="B37" s="56" t="s">
        <v>95</v>
      </c>
      <c r="C37" s="38" t="s">
        <v>122</v>
      </c>
      <c r="D37" s="67">
        <f>SUM(D39:D46)</f>
        <v>44902.679999999993</v>
      </c>
      <c r="E37" s="67">
        <f>SUM(E39:E46)</f>
        <v>49418.07</v>
      </c>
      <c r="F37" s="68">
        <f t="shared" si="0"/>
        <v>1.1005594766281213</v>
      </c>
      <c r="G37" s="67">
        <f>SUM(G39:G46)</f>
        <v>62517.2</v>
      </c>
      <c r="H37" s="67">
        <v>33075.620000000003</v>
      </c>
      <c r="I37" s="68">
        <f t="shared" si="12"/>
        <v>0.52906432149872362</v>
      </c>
      <c r="J37" s="67">
        <f t="shared" si="11"/>
        <v>107419.87999999999</v>
      </c>
      <c r="K37" s="67">
        <f t="shared" si="11"/>
        <v>82493.69</v>
      </c>
      <c r="L37" s="68">
        <f t="shared" si="13"/>
        <v>0.76795552182705851</v>
      </c>
      <c r="M37" s="130">
        <v>107419.87999999999</v>
      </c>
      <c r="N37" s="130">
        <v>118808.802</v>
      </c>
      <c r="O37" s="139">
        <f t="shared" si="10"/>
        <v>1.1060224792654767</v>
      </c>
    </row>
    <row r="38" spans="1:15" ht="20.25" customHeight="1">
      <c r="A38" s="12" t="s">
        <v>127</v>
      </c>
      <c r="B38" s="62" t="s">
        <v>96</v>
      </c>
      <c r="C38" s="39" t="s">
        <v>122</v>
      </c>
      <c r="D38" s="22">
        <f>D39+D40</f>
        <v>31721.56</v>
      </c>
      <c r="E38" s="22">
        <f>E39+E40</f>
        <v>34194.270000000004</v>
      </c>
      <c r="F38" s="111">
        <f t="shared" si="0"/>
        <v>1.0779504538868834</v>
      </c>
      <c r="G38" s="22">
        <f>G39+G40</f>
        <v>58999.57</v>
      </c>
      <c r="H38" s="110">
        <f>H39+H40</f>
        <v>23215.81</v>
      </c>
      <c r="I38" s="111">
        <f t="shared" si="12"/>
        <v>0.3934911729017686</v>
      </c>
      <c r="J38" s="22">
        <f>J39+J40</f>
        <v>90721.13</v>
      </c>
      <c r="K38" s="22">
        <f t="shared" si="11"/>
        <v>57410.080000000002</v>
      </c>
      <c r="L38" s="111">
        <f t="shared" si="13"/>
        <v>0.63281927815493477</v>
      </c>
      <c r="M38" s="131">
        <v>90721.13</v>
      </c>
      <c r="N38" s="131">
        <v>68892.569999999992</v>
      </c>
      <c r="O38" s="140">
        <f t="shared" si="10"/>
        <v>0.75938835858856679</v>
      </c>
    </row>
    <row r="39" spans="1:15" ht="20.25" hidden="1" customHeight="1">
      <c r="A39" s="55" t="s">
        <v>29</v>
      </c>
      <c r="B39" s="69" t="s">
        <v>97</v>
      </c>
      <c r="C39" s="45" t="s">
        <v>122</v>
      </c>
      <c r="D39" s="18">
        <f>57019.83/2</f>
        <v>28509.915000000001</v>
      </c>
      <c r="E39" s="18">
        <v>30739.68</v>
      </c>
      <c r="F39" s="27">
        <f t="shared" si="0"/>
        <v>1.0782101595181885</v>
      </c>
      <c r="G39" s="18">
        <f>105961.87/2</f>
        <v>52980.934999999998</v>
      </c>
      <c r="H39" s="18">
        <v>20907.36</v>
      </c>
      <c r="I39" s="27">
        <f t="shared" si="12"/>
        <v>0.39462044224021342</v>
      </c>
      <c r="J39" s="18">
        <f t="shared" si="11"/>
        <v>81490.850000000006</v>
      </c>
      <c r="K39" s="18">
        <f t="shared" si="11"/>
        <v>51647.040000000001</v>
      </c>
      <c r="L39" s="27">
        <f t="shared" si="13"/>
        <v>0.63377716639352755</v>
      </c>
      <c r="M39" s="128">
        <v>81490.850000000006</v>
      </c>
      <c r="N39" s="128">
        <v>61976.45</v>
      </c>
      <c r="O39" s="138">
        <f t="shared" si="10"/>
        <v>0.76053262421486578</v>
      </c>
    </row>
    <row r="40" spans="1:15" ht="20.25" hidden="1" customHeight="1">
      <c r="A40" s="55" t="s">
        <v>30</v>
      </c>
      <c r="B40" s="69" t="s">
        <v>98</v>
      </c>
      <c r="C40" s="45" t="s">
        <v>122</v>
      </c>
      <c r="D40" s="18">
        <f>6423.29/2</f>
        <v>3211.645</v>
      </c>
      <c r="E40" s="18">
        <v>3454.59</v>
      </c>
      <c r="F40" s="19">
        <f t="shared" si="0"/>
        <v>1.0756450354880442</v>
      </c>
      <c r="G40" s="18">
        <f>12037.27/2</f>
        <v>6018.6350000000002</v>
      </c>
      <c r="H40" s="18">
        <v>2308.4499999999998</v>
      </c>
      <c r="I40" s="19">
        <f t="shared" si="12"/>
        <v>0.38355042297796754</v>
      </c>
      <c r="J40" s="18">
        <f t="shared" si="11"/>
        <v>9230.2800000000007</v>
      </c>
      <c r="K40" s="18">
        <f t="shared" si="11"/>
        <v>5763.04</v>
      </c>
      <c r="L40" s="19">
        <f t="shared" si="13"/>
        <v>0.62436242454183399</v>
      </c>
      <c r="M40" s="128">
        <v>9230.2800000000007</v>
      </c>
      <c r="N40" s="128">
        <v>6916.12</v>
      </c>
      <c r="O40" s="135">
        <f t="shared" si="10"/>
        <v>0.74928604549374445</v>
      </c>
    </row>
    <row r="41" spans="1:15" ht="20.25" customHeight="1">
      <c r="A41" s="55" t="s">
        <v>31</v>
      </c>
      <c r="B41" s="69" t="s">
        <v>99</v>
      </c>
      <c r="C41" s="45" t="s">
        <v>122</v>
      </c>
      <c r="D41" s="18">
        <f>1221.01/2</f>
        <v>610.505</v>
      </c>
      <c r="E41" s="18">
        <v>1232.7</v>
      </c>
      <c r="F41" s="27"/>
      <c r="G41" s="18">
        <f>1115.73/2</f>
        <v>557.86500000000001</v>
      </c>
      <c r="H41" s="18">
        <v>705.2</v>
      </c>
      <c r="I41" s="27"/>
      <c r="J41" s="18">
        <f t="shared" si="11"/>
        <v>1168.3699999999999</v>
      </c>
      <c r="K41" s="18">
        <f t="shared" si="11"/>
        <v>1937.9</v>
      </c>
      <c r="L41" s="27"/>
      <c r="M41" s="128">
        <v>1168.3699999999999</v>
      </c>
      <c r="N41" s="128">
        <v>1168.3699999999999</v>
      </c>
      <c r="O41" s="135">
        <f t="shared" si="10"/>
        <v>1</v>
      </c>
    </row>
    <row r="42" spans="1:15" ht="20.25" customHeight="1">
      <c r="A42" s="55" t="s">
        <v>32</v>
      </c>
      <c r="B42" s="69" t="s">
        <v>89</v>
      </c>
      <c r="C42" s="45" t="s">
        <v>122</v>
      </c>
      <c r="D42" s="18">
        <f>20.1/2</f>
        <v>10.050000000000001</v>
      </c>
      <c r="E42" s="28">
        <v>0</v>
      </c>
      <c r="F42" s="27"/>
      <c r="G42" s="18">
        <v>0</v>
      </c>
      <c r="H42" s="28"/>
      <c r="I42" s="27"/>
      <c r="J42" s="18">
        <f t="shared" si="11"/>
        <v>10.050000000000001</v>
      </c>
      <c r="K42" s="18">
        <f t="shared" si="11"/>
        <v>0</v>
      </c>
      <c r="L42" s="27"/>
      <c r="M42" s="128">
        <v>10.050000000000001</v>
      </c>
      <c r="N42" s="128">
        <v>10.050000000000001</v>
      </c>
      <c r="O42" s="135">
        <f t="shared" si="10"/>
        <v>1</v>
      </c>
    </row>
    <row r="43" spans="1:15" ht="20.25" customHeight="1">
      <c r="A43" s="55" t="s">
        <v>33</v>
      </c>
      <c r="B43" s="69" t="s">
        <v>90</v>
      </c>
      <c r="C43" s="45" t="s">
        <v>122</v>
      </c>
      <c r="D43" s="18">
        <f>355.63/2</f>
        <v>177.815</v>
      </c>
      <c r="E43" s="18">
        <v>183.28</v>
      </c>
      <c r="F43" s="27">
        <f t="shared" si="0"/>
        <v>1.0307341900289626</v>
      </c>
      <c r="G43" s="18">
        <f>467.38/2</f>
        <v>233.69</v>
      </c>
      <c r="H43" s="18">
        <v>45.28</v>
      </c>
      <c r="I43" s="27">
        <f t="shared" ref="I43:I48" si="14">H43/G43</f>
        <v>0.19376096538148829</v>
      </c>
      <c r="J43" s="18">
        <f t="shared" si="11"/>
        <v>411.505</v>
      </c>
      <c r="K43" s="18">
        <f t="shared" si="11"/>
        <v>228.56</v>
      </c>
      <c r="L43" s="27">
        <f t="shared" ref="L43:L48" si="15">K43/J43</f>
        <v>0.55542459994410764</v>
      </c>
      <c r="M43" s="128">
        <v>411.505</v>
      </c>
      <c r="N43" s="128">
        <v>428.49200000000002</v>
      </c>
      <c r="O43" s="138">
        <f t="shared" si="10"/>
        <v>1.041280178855664</v>
      </c>
    </row>
    <row r="44" spans="1:15" ht="20.25" customHeight="1">
      <c r="A44" s="55" t="s">
        <v>34</v>
      </c>
      <c r="B44" s="69" t="s">
        <v>91</v>
      </c>
      <c r="C44" s="45" t="s">
        <v>122</v>
      </c>
      <c r="D44" s="18">
        <f>518.62/2</f>
        <v>259.31</v>
      </c>
      <c r="E44" s="18">
        <v>338.25</v>
      </c>
      <c r="F44" s="27">
        <f t="shared" si="0"/>
        <v>1.3044232771586133</v>
      </c>
      <c r="G44" s="18">
        <f>325.09/2</f>
        <v>162.54499999999999</v>
      </c>
      <c r="H44" s="18">
        <v>2.4599999999999795</v>
      </c>
      <c r="I44" s="27">
        <f t="shared" si="14"/>
        <v>1.5134270509704881E-2</v>
      </c>
      <c r="J44" s="18">
        <f t="shared" si="11"/>
        <v>421.85500000000002</v>
      </c>
      <c r="K44" s="18">
        <f t="shared" si="11"/>
        <v>340.71</v>
      </c>
      <c r="L44" s="27">
        <f t="shared" si="15"/>
        <v>0.80764717734766678</v>
      </c>
      <c r="M44" s="128">
        <v>421.85500000000002</v>
      </c>
      <c r="N44" s="128">
        <v>503.21</v>
      </c>
      <c r="O44" s="138">
        <f t="shared" si="10"/>
        <v>1.1928506240295835</v>
      </c>
    </row>
    <row r="45" spans="1:15" ht="20.25" customHeight="1">
      <c r="A45" s="55" t="s">
        <v>35</v>
      </c>
      <c r="B45" s="69" t="s">
        <v>92</v>
      </c>
      <c r="C45" s="45" t="s">
        <v>122</v>
      </c>
      <c r="D45" s="18">
        <f>230.56/2</f>
        <v>115.28</v>
      </c>
      <c r="E45" s="18">
        <v>296.11</v>
      </c>
      <c r="F45" s="27">
        <f t="shared" si="0"/>
        <v>2.5686155447605832</v>
      </c>
      <c r="G45" s="18">
        <f>2307.38/2</f>
        <v>1153.69</v>
      </c>
      <c r="H45" s="18">
        <v>163.07999999999998</v>
      </c>
      <c r="I45" s="27">
        <f t="shared" si="14"/>
        <v>0.14135513006093489</v>
      </c>
      <c r="J45" s="18">
        <f t="shared" si="11"/>
        <v>1268.97</v>
      </c>
      <c r="K45" s="18">
        <f t="shared" si="11"/>
        <v>459.19</v>
      </c>
      <c r="L45" s="27">
        <f t="shared" si="15"/>
        <v>0.36186040647139017</v>
      </c>
      <c r="M45" s="128">
        <v>1268.97</v>
      </c>
      <c r="N45" s="128">
        <v>551.02</v>
      </c>
      <c r="O45" s="138">
        <f t="shared" si="10"/>
        <v>0.43422618344011282</v>
      </c>
    </row>
    <row r="46" spans="1:15" ht="18" customHeight="1" thickBot="1">
      <c r="A46" s="124" t="s">
        <v>36</v>
      </c>
      <c r="B46" s="112" t="s">
        <v>100</v>
      </c>
      <c r="C46" s="45" t="s">
        <v>122</v>
      </c>
      <c r="D46" s="18">
        <f>24016.32/2</f>
        <v>12008.16</v>
      </c>
      <c r="E46" s="28">
        <v>13173.46</v>
      </c>
      <c r="F46" s="27">
        <f t="shared" si="0"/>
        <v>1.0970423445390467</v>
      </c>
      <c r="G46" s="18">
        <f>2819.68/2</f>
        <v>1409.84</v>
      </c>
      <c r="H46" s="28">
        <v>8943.7900000000009</v>
      </c>
      <c r="I46" s="27">
        <f t="shared" si="14"/>
        <v>6.3438333427906723</v>
      </c>
      <c r="J46" s="18">
        <f t="shared" si="11"/>
        <v>13418</v>
      </c>
      <c r="K46" s="18">
        <f t="shared" si="11"/>
        <v>22117.25</v>
      </c>
      <c r="L46" s="27">
        <f t="shared" si="15"/>
        <v>1.6483268743478909</v>
      </c>
      <c r="M46" s="128">
        <v>13418</v>
      </c>
      <c r="N46" s="128">
        <v>26540.690000000002</v>
      </c>
      <c r="O46" s="138">
        <f t="shared" si="10"/>
        <v>1.9779915039499183</v>
      </c>
    </row>
    <row r="47" spans="1:15" ht="18" hidden="1" customHeight="1" thickBot="1">
      <c r="A47" s="125" t="s">
        <v>129</v>
      </c>
      <c r="B47" s="112" t="s">
        <v>128</v>
      </c>
      <c r="C47" s="45" t="s">
        <v>122</v>
      </c>
      <c r="D47" s="18"/>
      <c r="E47" s="28"/>
      <c r="F47" s="27"/>
      <c r="G47" s="18"/>
      <c r="H47" s="28"/>
      <c r="I47" s="27"/>
      <c r="J47" s="18"/>
      <c r="K47" s="18"/>
      <c r="L47" s="27"/>
      <c r="M47" s="128">
        <v>0</v>
      </c>
      <c r="N47" s="128">
        <v>20714.400000000001</v>
      </c>
      <c r="O47" s="138"/>
    </row>
    <row r="48" spans="1:15" ht="18" customHeight="1" thickBot="1">
      <c r="A48" s="29" t="s">
        <v>37</v>
      </c>
      <c r="B48" s="70" t="s">
        <v>101</v>
      </c>
      <c r="C48" s="71" t="s">
        <v>122</v>
      </c>
      <c r="D48" s="72">
        <f>D5+D21</f>
        <v>1233255.2650000001</v>
      </c>
      <c r="E48" s="72">
        <f>E5+E21</f>
        <v>1301183.1499999999</v>
      </c>
      <c r="F48" s="73">
        <f t="shared" si="0"/>
        <v>1.0550801500125764</v>
      </c>
      <c r="G48" s="72">
        <f>G5+G21</f>
        <v>1357805.845</v>
      </c>
      <c r="H48" s="72">
        <v>980067.94</v>
      </c>
      <c r="I48" s="73">
        <f t="shared" si="14"/>
        <v>0.72180271104960514</v>
      </c>
      <c r="J48" s="72">
        <f t="shared" si="11"/>
        <v>2591061.1100000003</v>
      </c>
      <c r="K48" s="72">
        <f t="shared" si="11"/>
        <v>2281251.09</v>
      </c>
      <c r="L48" s="73">
        <f t="shared" si="15"/>
        <v>0.88043121838990501</v>
      </c>
      <c r="M48" s="132">
        <v>2799061.27</v>
      </c>
      <c r="N48" s="132">
        <v>2572642.2210000004</v>
      </c>
      <c r="O48" s="141">
        <f>N48/M48</f>
        <v>0.91910893433211638</v>
      </c>
    </row>
    <row r="49" spans="1:15" ht="18" hidden="1" customHeight="1" thickBot="1">
      <c r="A49" s="29" t="s">
        <v>38</v>
      </c>
      <c r="B49" s="70" t="s">
        <v>102</v>
      </c>
      <c r="C49" s="71"/>
      <c r="D49" s="72">
        <v>0</v>
      </c>
      <c r="E49" s="72"/>
      <c r="F49" s="73"/>
      <c r="G49" s="72">
        <v>0</v>
      </c>
      <c r="H49" s="72"/>
      <c r="I49" s="73"/>
      <c r="J49" s="72">
        <f t="shared" si="11"/>
        <v>0</v>
      </c>
      <c r="K49" s="72">
        <f t="shared" si="11"/>
        <v>0</v>
      </c>
      <c r="L49" s="73"/>
      <c r="M49" s="132"/>
      <c r="N49" s="132"/>
      <c r="O49" s="141" t="e">
        <f t="shared" si="10"/>
        <v>#DIV/0!</v>
      </c>
    </row>
    <row r="50" spans="1:15" s="26" customFormat="1" ht="18" hidden="1" customHeight="1" thickBot="1">
      <c r="A50" s="86"/>
      <c r="B50" s="70" t="s">
        <v>74</v>
      </c>
      <c r="C50" s="71"/>
      <c r="D50" s="72">
        <v>0</v>
      </c>
      <c r="E50" s="72"/>
      <c r="F50" s="73"/>
      <c r="G50" s="72">
        <v>0</v>
      </c>
      <c r="H50" s="72"/>
      <c r="I50" s="73"/>
      <c r="J50" s="72">
        <f t="shared" si="11"/>
        <v>0</v>
      </c>
      <c r="K50" s="72">
        <f t="shared" si="11"/>
        <v>0</v>
      </c>
      <c r="L50" s="73"/>
      <c r="M50" s="132"/>
      <c r="N50" s="132"/>
      <c r="O50" s="141" t="e">
        <f t="shared" si="10"/>
        <v>#DIV/0!</v>
      </c>
    </row>
    <row r="51" spans="1:15" ht="42" customHeight="1" thickBot="1">
      <c r="A51" s="29" t="s">
        <v>39</v>
      </c>
      <c r="B51" s="74" t="s">
        <v>103</v>
      </c>
      <c r="C51" s="71" t="s">
        <v>122</v>
      </c>
      <c r="D51" s="72">
        <f>(D48-D52)</f>
        <v>1232820.2650000001</v>
      </c>
      <c r="E51" s="72">
        <v>1267560.1000000001</v>
      </c>
      <c r="F51" s="73">
        <f>E51/D51</f>
        <v>1.0281791563509057</v>
      </c>
      <c r="G51" s="72">
        <f>(G48-G52)</f>
        <v>1357805.845</v>
      </c>
      <c r="H51" s="72">
        <v>980067.94</v>
      </c>
      <c r="I51" s="73">
        <f>H51/G51</f>
        <v>0.72180271104960514</v>
      </c>
      <c r="J51" s="72">
        <f t="shared" si="11"/>
        <v>2590626.1100000003</v>
      </c>
      <c r="K51" s="72">
        <f t="shared" si="11"/>
        <v>2247628.04</v>
      </c>
      <c r="L51" s="73">
        <f>K51/J51</f>
        <v>0.86760031921395242</v>
      </c>
      <c r="M51" s="132">
        <v>2590626.1100000003</v>
      </c>
      <c r="N51" s="132">
        <v>2823073.6</v>
      </c>
      <c r="O51" s="141">
        <f t="shared" si="10"/>
        <v>1.0897263750653696</v>
      </c>
    </row>
    <row r="52" spans="1:15" ht="60.75" customHeight="1" thickBot="1">
      <c r="A52" s="86"/>
      <c r="B52" s="87" t="s">
        <v>104</v>
      </c>
      <c r="C52" s="71" t="s">
        <v>122</v>
      </c>
      <c r="D52" s="38">
        <f>ROUND(869.58/2,2)+0.21</f>
        <v>435</v>
      </c>
      <c r="E52" s="13"/>
      <c r="F52" s="90"/>
      <c r="G52" s="38">
        <v>0</v>
      </c>
      <c r="H52" s="13"/>
      <c r="I52" s="90"/>
      <c r="J52" s="38">
        <f t="shared" si="11"/>
        <v>435</v>
      </c>
      <c r="K52" s="38">
        <f t="shared" si="11"/>
        <v>0</v>
      </c>
      <c r="L52" s="90"/>
      <c r="M52" s="126">
        <v>435</v>
      </c>
      <c r="N52" s="126"/>
      <c r="O52" s="142">
        <f>N52/M52</f>
        <v>0</v>
      </c>
    </row>
    <row r="53" spans="1:15" s="26" customFormat="1" ht="26.25" thickBot="1">
      <c r="A53" s="30"/>
      <c r="B53" s="56" t="s">
        <v>105</v>
      </c>
      <c r="C53" s="88"/>
      <c r="D53" s="14">
        <f>D48-D52</f>
        <v>1232820.2650000001</v>
      </c>
      <c r="E53" s="13"/>
      <c r="F53" s="90"/>
      <c r="G53" s="14">
        <f>G48-G52</f>
        <v>1357805.845</v>
      </c>
      <c r="H53" s="14">
        <v>980067.94</v>
      </c>
      <c r="I53" s="90"/>
      <c r="J53" s="14">
        <f t="shared" si="11"/>
        <v>2590626.1100000003</v>
      </c>
      <c r="K53" s="14">
        <f t="shared" si="11"/>
        <v>980067.94</v>
      </c>
      <c r="L53" s="90"/>
      <c r="M53" s="126">
        <v>2590191.1100000003</v>
      </c>
      <c r="N53" s="126">
        <v>2823073.6</v>
      </c>
      <c r="O53" s="143"/>
    </row>
    <row r="54" spans="1:15" s="26" customFormat="1" ht="12.75">
      <c r="A54" s="30" t="s">
        <v>40</v>
      </c>
      <c r="B54" s="89" t="s">
        <v>106</v>
      </c>
      <c r="C54" s="71" t="s">
        <v>123</v>
      </c>
      <c r="D54" s="72">
        <f>SUM(D55:D57)</f>
        <v>12731.075000000001</v>
      </c>
      <c r="E54" s="72">
        <f>SUM(E55:E57)</f>
        <v>12440.130000000001</v>
      </c>
      <c r="F54" s="73">
        <f t="shared" si="0"/>
        <v>0.97714686308893794</v>
      </c>
      <c r="G54" s="72">
        <f>SUM(G55:G57)</f>
        <v>12731.075000000001</v>
      </c>
      <c r="H54" s="72">
        <v>23520.733</v>
      </c>
      <c r="I54" s="73">
        <f t="shared" ref="I54" si="16">H54/G54</f>
        <v>1.8475056505440428</v>
      </c>
      <c r="J54" s="72">
        <f t="shared" si="11"/>
        <v>25462.15</v>
      </c>
      <c r="K54" s="72">
        <f t="shared" si="11"/>
        <v>35960.862999999998</v>
      </c>
      <c r="L54" s="73">
        <f t="shared" ref="L54" si="17">K54/J54</f>
        <v>1.4123262568164903</v>
      </c>
      <c r="M54" s="72">
        <v>25462.15</v>
      </c>
      <c r="N54" s="72">
        <v>25711.8</v>
      </c>
      <c r="O54" s="141">
        <f t="shared" ref="O54:O55" si="18">N54/M54</f>
        <v>1.0098047494025444</v>
      </c>
    </row>
    <row r="55" spans="1:15" s="26" customFormat="1" ht="159" customHeight="1">
      <c r="A55" s="31"/>
      <c r="B55" s="66" t="s">
        <v>107</v>
      </c>
      <c r="C55" s="45" t="s">
        <v>123</v>
      </c>
      <c r="D55" s="18">
        <f>20315.21/2</f>
        <v>10157.605</v>
      </c>
      <c r="E55" s="18">
        <f>7216.95+2754.16</f>
        <v>9971.11</v>
      </c>
      <c r="F55" s="19">
        <f>E55/D55</f>
        <v>0.98163986490910027</v>
      </c>
      <c r="G55" s="18">
        <f>20315.21/2</f>
        <v>10157.605</v>
      </c>
      <c r="H55" s="18">
        <v>18847.362000000001</v>
      </c>
      <c r="I55" s="19">
        <f>H55/G55</f>
        <v>1.855492707188358</v>
      </c>
      <c r="J55" s="18">
        <f t="shared" si="11"/>
        <v>20315.21</v>
      </c>
      <c r="K55" s="18">
        <f t="shared" si="11"/>
        <v>28818.472000000002</v>
      </c>
      <c r="L55" s="19">
        <f>K55/J55</f>
        <v>1.4185662860487291</v>
      </c>
      <c r="M55" s="18">
        <v>20315.21</v>
      </c>
      <c r="N55" s="18">
        <v>20620.2</v>
      </c>
      <c r="O55" s="135">
        <f t="shared" si="18"/>
        <v>1.0150128893572845</v>
      </c>
    </row>
    <row r="56" spans="1:15" s="26" customFormat="1" ht="27.75" customHeight="1">
      <c r="A56" s="33"/>
      <c r="B56" s="66" t="s">
        <v>108</v>
      </c>
      <c r="C56" s="39" t="s">
        <v>123</v>
      </c>
      <c r="D56" s="21">
        <f>789.06/2</f>
        <v>394.53</v>
      </c>
      <c r="E56" s="21">
        <f>414.18</f>
        <v>414.18</v>
      </c>
      <c r="F56" s="24">
        <f>E56/D56</f>
        <v>1.0498060983955593</v>
      </c>
      <c r="G56" s="21">
        <f>789.06/2</f>
        <v>394.53</v>
      </c>
      <c r="H56" s="21">
        <v>739.08100000000002</v>
      </c>
      <c r="I56" s="24">
        <f>H56/G56</f>
        <v>1.8733201530935546</v>
      </c>
      <c r="J56" s="21">
        <f t="shared" si="11"/>
        <v>789.06</v>
      </c>
      <c r="K56" s="21">
        <f t="shared" si="11"/>
        <v>1153.261</v>
      </c>
      <c r="L56" s="24">
        <f>K56/J56</f>
        <v>1.4615631257445569</v>
      </c>
      <c r="M56" s="21">
        <v>789.06</v>
      </c>
      <c r="N56" s="21">
        <v>811.3</v>
      </c>
      <c r="O56" s="134">
        <f>N56/M56</f>
        <v>1.0281854358350442</v>
      </c>
    </row>
    <row r="57" spans="1:15" s="26" customFormat="1" ht="43.5" customHeight="1" thickBot="1">
      <c r="A57" s="33"/>
      <c r="B57" s="66" t="s">
        <v>109</v>
      </c>
      <c r="C57" s="39" t="s">
        <v>123</v>
      </c>
      <c r="D57" s="21">
        <f>4357.88/2</f>
        <v>2178.94</v>
      </c>
      <c r="E57" s="21">
        <f>2054.84</f>
        <v>2054.84</v>
      </c>
      <c r="F57" s="24">
        <f>E57/D57</f>
        <v>0.9430457011207285</v>
      </c>
      <c r="G57" s="21">
        <f>4357.88/2</f>
        <v>2178.94</v>
      </c>
      <c r="H57" s="21">
        <v>3934.29</v>
      </c>
      <c r="I57" s="24">
        <f>H57/G57</f>
        <v>1.8055981348729198</v>
      </c>
      <c r="J57" s="21">
        <f t="shared" si="11"/>
        <v>4357.88</v>
      </c>
      <c r="K57" s="21">
        <f t="shared" si="11"/>
        <v>5989.13</v>
      </c>
      <c r="L57" s="24">
        <f>K57/J57</f>
        <v>1.3743219179968242</v>
      </c>
      <c r="M57" s="21">
        <v>4357.88</v>
      </c>
      <c r="N57" s="21">
        <v>4280.2999999999984</v>
      </c>
      <c r="O57" s="134">
        <f>N57/M57</f>
        <v>0.98219776588616448</v>
      </c>
    </row>
    <row r="58" spans="1:15" ht="12.75" customHeight="1">
      <c r="A58" s="4" t="s">
        <v>41</v>
      </c>
      <c r="B58" s="63" t="s">
        <v>110</v>
      </c>
      <c r="C58" s="38" t="s">
        <v>42</v>
      </c>
      <c r="D58" s="14">
        <f>6439.61/2</f>
        <v>3219.8049999999998</v>
      </c>
      <c r="E58" s="14"/>
      <c r="F58" s="15">
        <f t="shared" si="0"/>
        <v>0</v>
      </c>
      <c r="G58" s="14">
        <f>6439.61/2</f>
        <v>3219.8049999999998</v>
      </c>
      <c r="H58" s="14"/>
      <c r="I58" s="15">
        <f t="shared" ref="I58:I60" si="19">H58/G58</f>
        <v>0</v>
      </c>
      <c r="J58" s="14">
        <f>6439.61/2</f>
        <v>3219.8049999999998</v>
      </c>
      <c r="K58" s="14"/>
      <c r="L58" s="15">
        <f t="shared" ref="L58:L60" si="20">K58/J58</f>
        <v>0</v>
      </c>
      <c r="M58" s="14">
        <v>17.059999999999999</v>
      </c>
      <c r="N58" s="14">
        <v>17.2</v>
      </c>
      <c r="O58" s="133">
        <f>N58/M58</f>
        <v>1.0082063305978899</v>
      </c>
    </row>
    <row r="59" spans="1:15" ht="15" customHeight="1" thickBot="1">
      <c r="A59" s="12"/>
      <c r="B59" s="75" t="s">
        <v>111</v>
      </c>
      <c r="C59" s="38" t="s">
        <v>123</v>
      </c>
      <c r="D59" s="21"/>
      <c r="E59" s="21"/>
      <c r="F59" s="24" t="e">
        <f t="shared" si="0"/>
        <v>#DIV/0!</v>
      </c>
      <c r="G59" s="21"/>
      <c r="H59" s="21"/>
      <c r="I59" s="24" t="e">
        <f t="shared" si="19"/>
        <v>#DIV/0!</v>
      </c>
      <c r="J59" s="21"/>
      <c r="K59" s="21"/>
      <c r="L59" s="24" t="e">
        <f t="shared" si="20"/>
        <v>#DIV/0!</v>
      </c>
      <c r="M59" s="21">
        <v>6137.3050000000003</v>
      </c>
      <c r="N59" s="21">
        <v>6520.58</v>
      </c>
      <c r="O59" s="134">
        <f t="shared" ref="O59" si="21">N59/M59</f>
        <v>1.0624500493294695</v>
      </c>
    </row>
    <row r="60" spans="1:15" ht="15" customHeight="1">
      <c r="A60" s="32" t="s">
        <v>43</v>
      </c>
      <c r="B60" s="63" t="s">
        <v>112</v>
      </c>
      <c r="C60" s="38" t="s">
        <v>124</v>
      </c>
      <c r="D60" s="14"/>
      <c r="E60" s="14"/>
      <c r="F60" s="15" t="e">
        <f t="shared" si="0"/>
        <v>#DIV/0!</v>
      </c>
      <c r="G60" s="14"/>
      <c r="H60" s="14"/>
      <c r="I60" s="15" t="e">
        <f t="shared" si="19"/>
        <v>#DIV/0!</v>
      </c>
      <c r="J60" s="14"/>
      <c r="K60" s="14"/>
      <c r="L60" s="15" t="e">
        <f t="shared" si="20"/>
        <v>#DIV/0!</v>
      </c>
      <c r="M60" s="14"/>
      <c r="N60" s="14"/>
      <c r="O60" s="133"/>
    </row>
    <row r="61" spans="1:15" ht="12.75">
      <c r="A61" s="55"/>
      <c r="B61" s="63" t="s">
        <v>113</v>
      </c>
      <c r="C61" s="38" t="s">
        <v>124</v>
      </c>
      <c r="D61" s="14">
        <v>100.56</v>
      </c>
      <c r="E61" s="14"/>
      <c r="F61" s="92"/>
      <c r="G61" s="14"/>
      <c r="H61" s="14"/>
      <c r="I61" s="92"/>
      <c r="J61" s="14"/>
      <c r="K61" s="14"/>
      <c r="L61" s="14"/>
      <c r="M61" s="14">
        <v>100.56</v>
      </c>
      <c r="N61" s="149">
        <v>109.8</v>
      </c>
      <c r="O61" s="144"/>
    </row>
    <row r="62" spans="1:15" ht="13.5" thickBot="1">
      <c r="A62" s="119"/>
      <c r="B62" s="116" t="s">
        <v>53</v>
      </c>
      <c r="C62" s="38" t="s">
        <v>44</v>
      </c>
      <c r="D62" s="14">
        <v>118.75</v>
      </c>
      <c r="E62" s="14"/>
      <c r="F62" s="92"/>
      <c r="G62" s="14"/>
      <c r="H62" s="14"/>
      <c r="I62" s="92"/>
      <c r="J62" s="14"/>
      <c r="K62" s="14"/>
      <c r="L62" s="14"/>
      <c r="M62" s="14">
        <v>118.75</v>
      </c>
      <c r="N62" s="150"/>
      <c r="O62" s="144"/>
    </row>
    <row r="63" spans="1:15" ht="153" hidden="1" customHeight="1">
      <c r="A63" s="118"/>
      <c r="B63" s="115" t="s">
        <v>47</v>
      </c>
      <c r="C63" s="39" t="s">
        <v>44</v>
      </c>
      <c r="D63" s="22" t="s">
        <v>49</v>
      </c>
      <c r="E63" s="22">
        <v>46.37</v>
      </c>
      <c r="F63" s="78">
        <v>46.37</v>
      </c>
      <c r="G63" s="22" t="s">
        <v>49</v>
      </c>
      <c r="H63" s="22">
        <v>46.37</v>
      </c>
      <c r="I63" s="78">
        <v>46.37</v>
      </c>
      <c r="M63" s="123">
        <v>118.75</v>
      </c>
      <c r="N63" s="123"/>
      <c r="O63" s="123"/>
    </row>
    <row r="64" spans="1:15" ht="76.5" hidden="1" customHeight="1">
      <c r="A64" s="120"/>
      <c r="B64" s="115" t="s">
        <v>48</v>
      </c>
      <c r="C64" s="39" t="s">
        <v>44</v>
      </c>
      <c r="D64" s="47" t="s">
        <v>49</v>
      </c>
      <c r="E64" s="22">
        <v>988.41</v>
      </c>
      <c r="F64" s="84">
        <v>988.41</v>
      </c>
      <c r="G64" s="47" t="s">
        <v>49</v>
      </c>
      <c r="H64" s="22">
        <v>988.41</v>
      </c>
      <c r="I64" s="84">
        <v>988.41</v>
      </c>
    </row>
    <row r="65" spans="1:15" ht="77.25" hidden="1" customHeight="1" thickBot="1">
      <c r="A65" s="121"/>
      <c r="B65" s="117" t="s">
        <v>109</v>
      </c>
      <c r="C65" s="76" t="s">
        <v>124</v>
      </c>
      <c r="D65" s="83" t="s">
        <v>49</v>
      </c>
      <c r="E65" s="77">
        <v>192.42</v>
      </c>
      <c r="F65" s="85">
        <v>192.42</v>
      </c>
      <c r="G65" s="83" t="s">
        <v>49</v>
      </c>
      <c r="H65" s="77">
        <v>192.42</v>
      </c>
      <c r="I65" s="85">
        <v>192.42</v>
      </c>
    </row>
    <row r="66" spans="1:15" ht="12.75">
      <c r="A66" s="34"/>
      <c r="B66" s="35"/>
      <c r="C66" s="2"/>
      <c r="D66" s="36"/>
      <c r="E66" s="36"/>
      <c r="F66" s="36"/>
    </row>
    <row r="67" spans="1:15" s="26" customFormat="1" ht="17.25" hidden="1" customHeight="1" thickBot="1">
      <c r="A67" s="93"/>
      <c r="B67" s="35" t="s">
        <v>114</v>
      </c>
      <c r="C67" s="93"/>
      <c r="D67" s="94"/>
      <c r="E67" s="94"/>
      <c r="F67" s="94"/>
      <c r="G67" s="1"/>
      <c r="H67" s="3"/>
      <c r="I67" s="3"/>
      <c r="J67" s="3"/>
      <c r="K67" s="3"/>
      <c r="L67" s="1"/>
      <c r="M67" s="1"/>
      <c r="N67" s="1"/>
      <c r="O67" s="1"/>
    </row>
    <row r="68" spans="1:15" ht="12.75" hidden="1" customHeight="1">
      <c r="A68" s="95"/>
      <c r="B68" s="113" t="s">
        <v>115</v>
      </c>
      <c r="C68" s="95" t="s">
        <v>125</v>
      </c>
      <c r="D68" s="96">
        <f>SUM(D70:D73)</f>
        <v>475.3</v>
      </c>
      <c r="E68" s="97">
        <f>SUM(E70:E73)</f>
        <v>364.59999999999997</v>
      </c>
      <c r="F68" s="98">
        <f t="shared" ref="F68:F79" si="22">E68/D68</f>
        <v>0.76709446665264036</v>
      </c>
      <c r="G68" s="26"/>
      <c r="H68" s="35"/>
      <c r="I68" s="35"/>
      <c r="J68" s="35"/>
      <c r="K68" s="35"/>
      <c r="L68" s="26"/>
      <c r="M68" s="26"/>
      <c r="N68" s="26"/>
      <c r="O68" s="26"/>
    </row>
    <row r="69" spans="1:15" ht="13.5" hidden="1" customHeight="1">
      <c r="A69" s="99"/>
      <c r="B69" s="40" t="s">
        <v>116</v>
      </c>
      <c r="C69" s="99"/>
      <c r="D69" s="100"/>
      <c r="E69" s="101"/>
      <c r="F69" s="102"/>
    </row>
    <row r="70" spans="1:15" ht="13.5" hidden="1" customHeight="1">
      <c r="A70" s="99"/>
      <c r="B70" s="13" t="s">
        <v>117</v>
      </c>
      <c r="C70" s="99" t="s">
        <v>125</v>
      </c>
      <c r="D70" s="101">
        <v>398.6</v>
      </c>
      <c r="E70" s="101">
        <v>305.39999999999998</v>
      </c>
      <c r="F70" s="102">
        <f t="shared" si="22"/>
        <v>0.7661816357250375</v>
      </c>
    </row>
    <row r="71" spans="1:15" ht="13.5" hidden="1" customHeight="1">
      <c r="A71" s="103"/>
      <c r="B71" s="13" t="s">
        <v>118</v>
      </c>
      <c r="C71" s="99" t="s">
        <v>125</v>
      </c>
      <c r="D71" s="101">
        <v>21.5</v>
      </c>
      <c r="E71" s="101">
        <v>22</v>
      </c>
      <c r="F71" s="102">
        <f t="shared" si="22"/>
        <v>1.0232558139534884</v>
      </c>
    </row>
    <row r="72" spans="1:15" ht="13.5" hidden="1" customHeight="1">
      <c r="A72" s="103"/>
      <c r="B72" s="13" t="s">
        <v>119</v>
      </c>
      <c r="C72" s="99" t="s">
        <v>125</v>
      </c>
      <c r="D72" s="101">
        <v>1</v>
      </c>
      <c r="E72" s="101">
        <v>1</v>
      </c>
      <c r="F72" s="102">
        <f t="shared" si="22"/>
        <v>1</v>
      </c>
    </row>
    <row r="73" spans="1:15" s="26" customFormat="1" ht="17.25" hidden="1" customHeight="1">
      <c r="A73" s="99"/>
      <c r="B73" s="13" t="s">
        <v>120</v>
      </c>
      <c r="C73" s="99" t="s">
        <v>125</v>
      </c>
      <c r="D73" s="101">
        <v>54.2</v>
      </c>
      <c r="E73" s="101">
        <v>36.200000000000003</v>
      </c>
      <c r="F73" s="102">
        <f t="shared" si="22"/>
        <v>0.66789667896678973</v>
      </c>
      <c r="G73" s="1"/>
      <c r="H73" s="3"/>
      <c r="I73" s="3"/>
      <c r="J73" s="3"/>
      <c r="K73" s="3"/>
      <c r="L73" s="1"/>
      <c r="M73" s="1"/>
      <c r="N73" s="1"/>
      <c r="O73" s="1"/>
    </row>
    <row r="74" spans="1:15" ht="12.75" hidden="1" customHeight="1">
      <c r="A74" s="95"/>
      <c r="B74" s="114" t="s">
        <v>121</v>
      </c>
      <c r="C74" s="95" t="s">
        <v>126</v>
      </c>
      <c r="D74" s="104">
        <v>139011</v>
      </c>
      <c r="E74" s="104">
        <f>(E12+E24+E39+1275.43)/E68/6*1000</f>
        <v>180691.24611446331</v>
      </c>
      <c r="F74" s="98">
        <f t="shared" si="22"/>
        <v>1.2998341578325694</v>
      </c>
      <c r="G74" s="26"/>
      <c r="H74" s="35"/>
      <c r="I74" s="35"/>
      <c r="J74" s="35"/>
      <c r="K74" s="35"/>
      <c r="L74" s="26"/>
      <c r="M74" s="26"/>
      <c r="N74" s="26"/>
      <c r="O74" s="26"/>
    </row>
    <row r="75" spans="1:15" ht="13.5" hidden="1" customHeight="1">
      <c r="A75" s="99"/>
      <c r="B75" s="40" t="s">
        <v>116</v>
      </c>
      <c r="C75" s="99"/>
      <c r="D75" s="105"/>
      <c r="E75" s="106"/>
      <c r="F75" s="102"/>
    </row>
    <row r="76" spans="1:15" ht="13.5" hidden="1" customHeight="1">
      <c r="A76" s="99"/>
      <c r="B76" s="13" t="s">
        <v>117</v>
      </c>
      <c r="C76" s="99" t="s">
        <v>126</v>
      </c>
      <c r="D76" s="106">
        <v>143628</v>
      </c>
      <c r="E76" s="106">
        <f>E12/E70/6*1000</f>
        <v>182790.45514079893</v>
      </c>
      <c r="F76" s="102">
        <f t="shared" si="22"/>
        <v>1.2726658808922977</v>
      </c>
    </row>
    <row r="77" spans="1:15" ht="13.5" hidden="1" customHeight="1">
      <c r="A77" s="99"/>
      <c r="B77" s="13" t="s">
        <v>118</v>
      </c>
      <c r="C77" s="99" t="s">
        <v>126</v>
      </c>
      <c r="D77" s="106">
        <v>181698</v>
      </c>
      <c r="E77" s="106">
        <f>E24/E71/6*1000</f>
        <v>214544.16666666669</v>
      </c>
      <c r="F77" s="102">
        <f t="shared" si="22"/>
        <v>1.1807734078892815</v>
      </c>
    </row>
    <row r="78" spans="1:15" ht="13.5" hidden="1" customHeight="1">
      <c r="A78" s="99"/>
      <c r="B78" s="13" t="s">
        <v>119</v>
      </c>
      <c r="C78" s="99" t="s">
        <v>126</v>
      </c>
      <c r="D78" s="106">
        <v>163784</v>
      </c>
      <c r="E78" s="106">
        <f>1275.43/2/6*1000</f>
        <v>106285.83333333334</v>
      </c>
      <c r="F78" s="102">
        <f t="shared" si="22"/>
        <v>0.64893904980543482</v>
      </c>
    </row>
    <row r="79" spans="1:15" ht="21" hidden="1" customHeight="1">
      <c r="A79" s="99"/>
      <c r="B79" s="13" t="s">
        <v>120</v>
      </c>
      <c r="C79" s="99" t="s">
        <v>126</v>
      </c>
      <c r="D79" s="106">
        <v>87669</v>
      </c>
      <c r="E79" s="106">
        <f>E39/E73/6*1000</f>
        <v>141527.0718232044</v>
      </c>
      <c r="F79" s="102">
        <f t="shared" si="22"/>
        <v>1.6143342780595695</v>
      </c>
    </row>
    <row r="80" spans="1:15" s="44" customFormat="1" ht="21" hidden="1" customHeight="1">
      <c r="A80" s="37"/>
      <c r="B80" s="1"/>
      <c r="C80" s="37"/>
      <c r="D80" s="5"/>
      <c r="E80" s="5"/>
      <c r="F80" s="1"/>
      <c r="G80" s="1"/>
      <c r="H80" s="3"/>
      <c r="I80" s="3"/>
      <c r="J80" s="3"/>
      <c r="K80" s="3"/>
      <c r="L80" s="1"/>
      <c r="M80" s="1"/>
      <c r="N80" s="1"/>
      <c r="O80" s="1"/>
    </row>
    <row r="81" spans="1:15" ht="21" customHeight="1">
      <c r="A81" s="41"/>
      <c r="B81" s="35"/>
      <c r="C81" s="42"/>
      <c r="D81" s="42"/>
      <c r="E81" s="43"/>
      <c r="F81" s="44"/>
      <c r="G81" s="44"/>
      <c r="H81" s="44"/>
      <c r="I81" s="44"/>
      <c r="J81" s="44"/>
      <c r="K81" s="44"/>
      <c r="L81" s="44"/>
      <c r="M81" s="44"/>
      <c r="N81" s="44"/>
      <c r="O81" s="44"/>
    </row>
  </sheetData>
  <mergeCells count="16">
    <mergeCell ref="F3:F4"/>
    <mergeCell ref="N61:N62"/>
    <mergeCell ref="A3:A4"/>
    <mergeCell ref="B3:B4"/>
    <mergeCell ref="C3:C4"/>
    <mergeCell ref="D3:D4"/>
    <mergeCell ref="E3:E4"/>
    <mergeCell ref="M3:M4"/>
    <mergeCell ref="N3:N4"/>
    <mergeCell ref="O3:O4"/>
    <mergeCell ref="G3:G4"/>
    <mergeCell ref="H3:H4"/>
    <mergeCell ref="I3:I4"/>
    <mergeCell ref="J3:J4"/>
    <mergeCell ref="K3:K4"/>
    <mergeCell ref="L3:L4"/>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каз.яз</vt:lpstr>
    </vt:vector>
  </TitlesOfParts>
  <Company>MoBIL GROUP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Папа и Мама</dc:creator>
  <cp:lastModifiedBy>Анастасия Гарифуллина</cp:lastModifiedBy>
  <cp:lastPrinted>2023-12-19T08:41:11Z</cp:lastPrinted>
  <dcterms:created xsi:type="dcterms:W3CDTF">2016-06-16T06:30:56Z</dcterms:created>
  <dcterms:modified xsi:type="dcterms:W3CDTF">2023-12-27T05:46:52Z</dcterms:modified>
</cp:coreProperties>
</file>